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5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<sst xmlns="http://schemas.openxmlformats.org/spreadsheetml/2006/main" count="150" uniqueCount="52">
  <si>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</si>
  <si>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</si>
  <si>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</si>
  <si>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</si>
  <si>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</si>
  <si>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</si>
  <si>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</si>
  <si>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</si>
  <si>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</si>
  <si>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</si>
  <si>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</si>
  <si>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</si>
  <si>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</si>
  <si>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</si>
  <si>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</si>
  <si>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</si>
  <si>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</si>
  <si>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</si>
  <si>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</si>
  <si>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</si>
  <si>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Kanceláře finančního arbitra</t>
    </r>
  </si>
  <si>
    <t>efektivnost</t>
  </si>
  <si>
    <t xml:space="preserve">nákladovost </t>
  </si>
  <si>
    <t>RF = rezervní fond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</si>
  <si>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 (souhrn)</t>
    </r>
  </si>
  <si>
    <t xml:space="preserve">Výdaje celkem </t>
  </si>
  <si>
    <t>výdaje na 1 zam</t>
  </si>
  <si>
    <t xml:space="preserve">odpočet </t>
  </si>
  <si>
    <t>výdaje upravené</t>
  </si>
  <si>
    <t xml:space="preserve">rozdíl </t>
  </si>
  <si>
    <t>2013-2012</t>
  </si>
  <si>
    <t>index</t>
  </si>
  <si>
    <t>rozdíl</t>
  </si>
  <si>
    <t>2013/2012</t>
  </si>
  <si>
    <t>do 100 %</t>
  </si>
  <si>
    <t>po úpravě výdajů</t>
  </si>
  <si>
    <t>r. 2012</t>
  </si>
  <si>
    <t>r. 2013</t>
  </si>
  <si>
    <t>po úpravě</t>
  </si>
  <si>
    <t>odpočet KV</t>
  </si>
  <si>
    <t>rok 2012</t>
  </si>
  <si>
    <t>rok 2013</t>
  </si>
  <si>
    <t>AKRO náhr. škody</t>
  </si>
  <si>
    <t>nákup akcií</t>
  </si>
  <si>
    <t>(KCP, VZLÚ, Explosia)</t>
  </si>
  <si>
    <t>úprava výdajů</t>
  </si>
  <si>
    <t>BV na  1 zam</t>
  </si>
  <si>
    <t>BV bez AKRA</t>
  </si>
  <si>
    <t xml:space="preserve">    = + 2,9</t>
  </si>
  <si>
    <t>Příjmy na 1 zam. v Kč-meziroční vývoj</t>
  </si>
  <si>
    <t>Běžné výdaje na 1 zam. v Kč - meziroční vývoj</t>
  </si>
  <si>
    <t>Výdaje na 1 zam. v Kč-meziroční vývoj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</si>
</sst>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  <numFmt numFmtId="166" formatCode="#,##0.0000"/>
    <numFmt numFmtId="167" formatCode="#,##0.000"/>
  </numFmts>
  <fonts count="2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 CE"/>
      <family val="0"/>
    </font>
    <font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4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4" fontId="0" fillId="0" borderId="46" xfId="0" applyNumberForma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24" borderId="49" xfId="0" applyFill="1" applyBorder="1" applyAlignment="1">
      <alignment/>
    </xf>
    <xf numFmtId="3" fontId="0" fillId="24" borderId="49" xfId="0" applyNumberFormat="1" applyFill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4" fontId="0" fillId="24" borderId="49" xfId="0" applyNumberFormat="1" applyFill="1" applyBorder="1" applyAlignment="1">
      <alignment/>
    </xf>
    <xf numFmtId="4" fontId="0" fillId="25" borderId="49" xfId="0" applyNumberFormat="1" applyFill="1" applyBorder="1" applyAlignment="1">
      <alignment/>
    </xf>
    <xf numFmtId="0" fontId="0" fillId="25" borderId="49" xfId="0" applyFill="1" applyBorder="1" applyAlignment="1">
      <alignment/>
    </xf>
    <xf numFmtId="3" fontId="0" fillId="25" borderId="49" xfId="0" applyNumberFormat="1" applyFill="1" applyBorder="1" applyAlignment="1">
      <alignment/>
    </xf>
    <xf numFmtId="0" fontId="0" fillId="25" borderId="0" xfId="0" applyFill="1" applyAlignment="1">
      <alignment/>
    </xf>
    <xf numFmtId="16" fontId="0" fillId="25" borderId="49" xfId="0" applyNumberFormat="1" applyFill="1" applyBorder="1" applyAlignment="1">
      <alignment/>
    </xf>
    <xf numFmtId="0" fontId="0" fillId="17" borderId="49" xfId="0" applyFill="1" applyBorder="1" applyAlignment="1">
      <alignment/>
    </xf>
    <xf numFmtId="3" fontId="0" fillId="17" borderId="0" xfId="0" applyNumberFormat="1" applyFill="1" applyAlignment="1">
      <alignment/>
    </xf>
    <xf numFmtId="4" fontId="0" fillId="17" borderId="0" xfId="0" applyNumberFormat="1" applyFill="1" applyBorder="1" applyAlignment="1">
      <alignment/>
    </xf>
    <xf numFmtId="4" fontId="0" fillId="17" borderId="0" xfId="0" applyNumberFormat="1" applyFill="1" applyAlignment="1">
      <alignment/>
    </xf>
    <xf numFmtId="3" fontId="0" fillId="17" borderId="49" xfId="0" applyNumberFormat="1" applyFill="1" applyBorder="1" applyAlignment="1">
      <alignment/>
    </xf>
    <xf numFmtId="3" fontId="0" fillId="17" borderId="50" xfId="0" applyNumberFormat="1" applyFill="1" applyBorder="1" applyAlignment="1">
      <alignment/>
    </xf>
    <xf numFmtId="4" fontId="0" fillId="17" borderId="49" xfId="0" applyNumberFormat="1" applyFill="1" applyBorder="1" applyAlignment="1">
      <alignment/>
    </xf>
    <xf numFmtId="4" fontId="25" fillId="17" borderId="49" xfId="0" applyNumberFormat="1" applyFont="1" applyFill="1" applyBorder="1" applyAlignment="1">
      <alignment/>
    </xf>
    <xf numFmtId="0" fontId="0" fillId="17" borderId="0" xfId="0" applyFill="1" applyAlignment="1">
      <alignment horizontal="center"/>
    </xf>
    <xf numFmtId="0" fontId="0" fillId="7" borderId="36" xfId="0" applyFill="1" applyBorder="1" applyAlignment="1">
      <alignment/>
    </xf>
    <xf numFmtId="0" fontId="0" fillId="7" borderId="54" xfId="0" applyFill="1" applyBorder="1" applyAlignment="1">
      <alignment/>
    </xf>
    <xf numFmtId="0" fontId="0" fillId="7" borderId="55" xfId="0" applyFill="1" applyBorder="1" applyAlignment="1">
      <alignment/>
    </xf>
    <xf numFmtId="0" fontId="0" fillId="7" borderId="42" xfId="0" applyFill="1" applyBorder="1" applyAlignment="1">
      <alignment horizontal="right"/>
    </xf>
    <xf numFmtId="0" fontId="0" fillId="7" borderId="41" xfId="0" applyFill="1" applyBorder="1" applyAlignment="1">
      <alignment/>
    </xf>
    <xf numFmtId="0" fontId="0" fillId="7" borderId="10" xfId="0" applyFill="1" applyBorder="1" applyAlignment="1">
      <alignment/>
    </xf>
    <xf numFmtId="3" fontId="0" fillId="7" borderId="46" xfId="0" applyNumberFormat="1" applyFill="1" applyBorder="1" applyAlignment="1">
      <alignment/>
    </xf>
    <xf numFmtId="0" fontId="0" fillId="7" borderId="39" xfId="0" applyFill="1" applyBorder="1" applyAlignment="1">
      <alignment/>
    </xf>
    <xf numFmtId="0" fontId="0" fillId="7" borderId="56" xfId="0" applyFill="1" applyBorder="1" applyAlignment="1">
      <alignment/>
    </xf>
    <xf numFmtId="0" fontId="0" fillId="7" borderId="57" xfId="0" applyFill="1" applyBorder="1" applyAlignment="1">
      <alignment/>
    </xf>
    <xf numFmtId="3" fontId="0" fillId="7" borderId="30" xfId="0" applyNumberFormat="1" applyFill="1" applyBorder="1" applyAlignment="1">
      <alignment/>
    </xf>
    <xf numFmtId="0" fontId="0" fillId="7" borderId="58" xfId="0" applyFill="1" applyBorder="1" applyAlignment="1">
      <alignment/>
    </xf>
    <xf numFmtId="0" fontId="0" fillId="7" borderId="59" xfId="0" applyFill="1" applyBorder="1" applyAlignment="1">
      <alignment/>
    </xf>
    <xf numFmtId="0" fontId="0" fillId="7" borderId="60" xfId="0" applyFill="1" applyBorder="1" applyAlignment="1">
      <alignment/>
    </xf>
    <xf numFmtId="0" fontId="0" fillId="7" borderId="61" xfId="0" applyFill="1" applyBorder="1" applyAlignment="1">
      <alignment/>
    </xf>
    <xf numFmtId="4" fontId="0" fillId="8" borderId="0" xfId="0" applyNumberFormat="1" applyFill="1" applyAlignment="1">
      <alignment/>
    </xf>
    <xf numFmtId="3" fontId="0" fillId="8" borderId="19" xfId="0" applyNumberFormat="1" applyFill="1" applyBorder="1" applyAlignment="1">
      <alignment/>
    </xf>
    <xf numFmtId="3" fontId="0" fillId="8" borderId="56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24" borderId="0" xfId="0" applyFill="1" applyAlignment="1">
      <alignment horizontal="center"/>
    </xf>
    <xf numFmtId="3" fontId="0" fillId="24" borderId="62" xfId="0" applyNumberFormat="1" applyFill="1" applyBorder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0" fontId="26" fillId="24" borderId="62" xfId="0" applyFont="1" applyFill="1" applyBorder="1" applyAlignment="1">
      <alignment/>
    </xf>
    <xf numFmtId="0" fontId="0" fillId="0" borderId="63" xfId="0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0" fillId="0" borderId="49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17" borderId="17" xfId="0" applyNumberFormat="1" applyFill="1" applyBorder="1" applyAlignment="1">
      <alignment/>
    </xf>
    <xf numFmtId="0" fontId="0" fillId="0" borderId="22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6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0"/>
  <sheetViews>
    <sheetView workbookViewId="0" topLeftCell="A1">
      <selection activeCell="T25" sqref="T25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hidden="1" customWidth="1"/>
    <col min="6" max="6" width="10.25390625" style="0" hidden="1" customWidth="1"/>
    <col min="7" max="7" width="11.125" style="0" hidden="1" customWidth="1"/>
    <col min="8" max="9" width="11.75390625" style="0" hidden="1" customWidth="1"/>
    <col min="10" max="10" width="12.25390625" style="0" hidden="1" customWidth="1"/>
    <col min="11" max="11" width="12.25390625" style="0" customWidth="1"/>
    <col min="12" max="12" width="12.75390625" style="0" customWidth="1"/>
    <col min="13" max="13" width="13.37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60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61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62"/>
      <c r="L10" s="11"/>
      <c r="M10" s="11"/>
      <c r="N10" s="11"/>
      <c r="O10" s="11"/>
    </row>
    <row r="11" spans="1:15" ht="12.75">
      <c r="A11" s="3" t="s">
        <v>7</v>
      </c>
      <c r="B11" s="10">
        <v>65768</v>
      </c>
      <c r="C11" s="10">
        <v>25623</v>
      </c>
      <c r="D11" s="11">
        <v>210666</v>
      </c>
      <c r="E11" s="11">
        <v>96112</v>
      </c>
      <c r="F11" s="11">
        <v>338006</v>
      </c>
      <c r="G11" s="11">
        <v>573678</v>
      </c>
      <c r="H11" s="76">
        <v>716211</v>
      </c>
      <c r="I11" s="62">
        <v>618340</v>
      </c>
      <c r="J11" s="91">
        <v>2456412</v>
      </c>
      <c r="K11" s="62">
        <f>1687103+184660</f>
        <v>1871763</v>
      </c>
      <c r="L11" s="11">
        <v>1400126</v>
      </c>
      <c r="M11" s="11">
        <v>924189</v>
      </c>
      <c r="N11" s="11">
        <v>843392</v>
      </c>
      <c r="O11" s="11">
        <v>1055357</v>
      </c>
    </row>
    <row r="12" spans="1:15" ht="12.75">
      <c r="A12" s="4" t="s">
        <v>5</v>
      </c>
      <c r="B12" s="12">
        <f aca="true" t="shared" si="0" ref="B12:O12">SUM(B10:B11)</f>
        <v>65768</v>
      </c>
      <c r="C12" s="12">
        <f t="shared" si="0"/>
        <v>25623</v>
      </c>
      <c r="D12" s="13">
        <f t="shared" si="0"/>
        <v>210666</v>
      </c>
      <c r="E12" s="13">
        <f t="shared" si="0"/>
        <v>96112</v>
      </c>
      <c r="F12" s="13">
        <f t="shared" si="0"/>
        <v>338006</v>
      </c>
      <c r="G12" s="13">
        <f t="shared" si="0"/>
        <v>573678</v>
      </c>
      <c r="H12" s="77">
        <f t="shared" si="0"/>
        <v>716211</v>
      </c>
      <c r="I12" s="63">
        <f t="shared" si="0"/>
        <v>618340</v>
      </c>
      <c r="J12" s="92">
        <f t="shared" si="0"/>
        <v>2456412</v>
      </c>
      <c r="K12" s="63">
        <f t="shared" si="0"/>
        <v>1871763</v>
      </c>
      <c r="L12" s="13">
        <f t="shared" si="0"/>
        <v>1400126</v>
      </c>
      <c r="M12" s="13">
        <f t="shared" si="0"/>
        <v>924189</v>
      </c>
      <c r="N12" s="13">
        <f t="shared" si="0"/>
        <v>843392</v>
      </c>
      <c r="O12" s="13">
        <f t="shared" si="0"/>
        <v>1055357</v>
      </c>
    </row>
    <row r="13" spans="1:15" ht="12.75" hidden="1">
      <c r="A13" s="55" t="s">
        <v>6</v>
      </c>
      <c r="B13" s="56">
        <v>1612428</v>
      </c>
      <c r="C13" s="56">
        <v>1365135</v>
      </c>
      <c r="D13" s="57">
        <v>2284497</v>
      </c>
      <c r="E13" s="57">
        <v>2283058</v>
      </c>
      <c r="F13" s="57">
        <v>2508569</v>
      </c>
      <c r="G13" s="57">
        <v>2735528</v>
      </c>
      <c r="H13" s="78">
        <v>2746825</v>
      </c>
      <c r="I13" s="64">
        <v>2879133</v>
      </c>
      <c r="J13" s="93">
        <v>2911332</v>
      </c>
      <c r="K13" s="64">
        <v>4045189</v>
      </c>
      <c r="L13" s="57">
        <v>3322409</v>
      </c>
      <c r="M13" s="57">
        <v>2956951</v>
      </c>
      <c r="N13" s="57">
        <v>2956951</v>
      </c>
      <c r="O13" s="57">
        <v>2956951</v>
      </c>
    </row>
    <row r="14" spans="1:15" ht="12.75" hidden="1">
      <c r="A14" s="3" t="s">
        <v>2</v>
      </c>
      <c r="B14" s="10">
        <v>1037443</v>
      </c>
      <c r="C14" s="10">
        <v>1007198</v>
      </c>
      <c r="D14" s="11">
        <v>1684418</v>
      </c>
      <c r="E14" s="11">
        <v>1708909</v>
      </c>
      <c r="F14" s="11">
        <v>1837022</v>
      </c>
      <c r="G14" s="11">
        <v>2101680</v>
      </c>
      <c r="H14" s="76">
        <v>2062260</v>
      </c>
      <c r="I14" s="62">
        <v>2112042</v>
      </c>
      <c r="J14" s="91">
        <v>2353936</v>
      </c>
      <c r="K14" s="62">
        <v>2330700</v>
      </c>
      <c r="L14" s="11">
        <v>2403654</v>
      </c>
      <c r="M14" s="11">
        <v>2265300</v>
      </c>
      <c r="N14" s="11">
        <v>2265300</v>
      </c>
      <c r="O14" s="11">
        <v>2265300</v>
      </c>
    </row>
    <row r="15" spans="1:15" ht="12.75">
      <c r="A15" s="106" t="s">
        <v>25</v>
      </c>
      <c r="B15" s="14"/>
      <c r="C15" s="14"/>
      <c r="D15" s="17">
        <f>D13-33178</f>
        <v>2251319</v>
      </c>
      <c r="E15" s="54">
        <f>E13-46228</f>
        <v>2236830</v>
      </c>
      <c r="F15" s="54">
        <f>F13-290723</f>
        <v>2217846</v>
      </c>
      <c r="G15" s="54">
        <f>G13-404353</f>
        <v>2331175</v>
      </c>
      <c r="H15" s="79">
        <f>H13-291005</f>
        <v>2455820</v>
      </c>
      <c r="I15" s="65">
        <f>I13-433289</f>
        <v>2445844</v>
      </c>
      <c r="J15" s="94">
        <v>2911332</v>
      </c>
      <c r="K15" s="107">
        <v>4045189</v>
      </c>
      <c r="L15" s="59">
        <v>3322409</v>
      </c>
      <c r="M15" s="59">
        <v>2956951</v>
      </c>
      <c r="N15" s="59">
        <f>4701314+1</f>
        <v>4701315</v>
      </c>
      <c r="O15" s="59">
        <v>4821161</v>
      </c>
    </row>
    <row r="16" spans="1:15" ht="12.75">
      <c r="A16" s="3" t="s">
        <v>2</v>
      </c>
      <c r="B16" s="14"/>
      <c r="C16" s="14"/>
      <c r="D16" s="15">
        <f>D14-22500</f>
        <v>1661918</v>
      </c>
      <c r="E16" s="53">
        <f>E14-32927</f>
        <v>1675982</v>
      </c>
      <c r="F16" s="53">
        <f>F14-171223</f>
        <v>1665799</v>
      </c>
      <c r="G16" s="53">
        <f>G14-217150</f>
        <v>1884530</v>
      </c>
      <c r="H16" s="80">
        <f>H14-181005</f>
        <v>1881255</v>
      </c>
      <c r="I16" s="66">
        <f>I14-234961</f>
        <v>1877081</v>
      </c>
      <c r="J16" s="91">
        <v>2353936</v>
      </c>
      <c r="K16" s="62">
        <v>2330700</v>
      </c>
      <c r="L16" s="11">
        <v>2403654</v>
      </c>
      <c r="M16" s="11">
        <v>2265330</v>
      </c>
      <c r="N16" s="11">
        <f>4032302+1</f>
        <v>4032303</v>
      </c>
      <c r="O16" s="11">
        <v>2225996</v>
      </c>
    </row>
    <row r="17" spans="1:16" ht="13.5" thickBot="1">
      <c r="A17" s="31" t="s">
        <v>3</v>
      </c>
      <c r="B17" s="32">
        <v>1175</v>
      </c>
      <c r="C17" s="32">
        <v>1143</v>
      </c>
      <c r="D17" s="33">
        <v>1400</v>
      </c>
      <c r="E17" s="45">
        <v>1442</v>
      </c>
      <c r="F17" s="45">
        <v>1449</v>
      </c>
      <c r="G17" s="45">
        <v>1411</v>
      </c>
      <c r="H17" s="81">
        <v>1286</v>
      </c>
      <c r="I17" s="45">
        <v>1306</v>
      </c>
      <c r="J17" s="95">
        <v>1374</v>
      </c>
      <c r="K17" s="45">
        <v>1386</v>
      </c>
      <c r="L17" s="45">
        <v>1373</v>
      </c>
      <c r="M17" s="45">
        <v>1104</v>
      </c>
      <c r="N17" s="45">
        <v>1121</v>
      </c>
      <c r="O17" s="45">
        <v>1295</v>
      </c>
      <c r="P17" s="51">
        <f>O17-N17</f>
        <v>174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60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61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9"/>
      <c r="L23" s="6"/>
      <c r="M23" s="6"/>
      <c r="N23" s="6"/>
      <c r="O23" s="6"/>
    </row>
    <row r="24" spans="1:15" ht="12.75">
      <c r="A24" s="3" t="s">
        <v>8</v>
      </c>
      <c r="B24" s="20">
        <f>B12/B13</f>
        <v>0.04078817782871545</v>
      </c>
      <c r="C24" s="20">
        <f>C12/C13</f>
        <v>0.018769572240108123</v>
      </c>
      <c r="D24" s="21">
        <f aca="true" t="shared" si="1" ref="D24:M24">D12/D15</f>
        <v>0.09357447789495847</v>
      </c>
      <c r="E24" s="21">
        <f t="shared" si="1"/>
        <v>0.04296795017949509</v>
      </c>
      <c r="F24" s="21">
        <f t="shared" si="1"/>
        <v>0.15240282688698856</v>
      </c>
      <c r="G24" s="21">
        <f t="shared" si="1"/>
        <v>0.24608963291044217</v>
      </c>
      <c r="H24" s="83">
        <f t="shared" si="1"/>
        <v>0.291638230814962</v>
      </c>
      <c r="I24" s="70">
        <f t="shared" si="1"/>
        <v>0.2528125260646223</v>
      </c>
      <c r="J24" s="97">
        <f t="shared" si="1"/>
        <v>0.843741627543681</v>
      </c>
      <c r="K24" s="70">
        <f t="shared" si="1"/>
        <v>0.4627133614770534</v>
      </c>
      <c r="L24" s="21">
        <f t="shared" si="1"/>
        <v>0.4214189162141085</v>
      </c>
      <c r="M24" s="21">
        <f t="shared" si="1"/>
        <v>0.3125479590294192</v>
      </c>
      <c r="N24" s="21">
        <f>N12/N15</f>
        <v>0.17939491397619603</v>
      </c>
      <c r="O24" s="21">
        <f>O12/O15</f>
        <v>0.2189010074544285</v>
      </c>
    </row>
    <row r="25" spans="1:15" ht="13.5" thickBot="1">
      <c r="A25" s="5" t="s">
        <v>18</v>
      </c>
      <c r="B25" s="14">
        <f aca="true" t="shared" si="2" ref="B25:M25">B12/B17*1000</f>
        <v>55972.76595744681</v>
      </c>
      <c r="C25" s="14">
        <f t="shared" si="2"/>
        <v>22417.32283464567</v>
      </c>
      <c r="D25" s="15">
        <f t="shared" si="2"/>
        <v>150475.71428571426</v>
      </c>
      <c r="E25" s="15">
        <f t="shared" si="2"/>
        <v>66651.87239944522</v>
      </c>
      <c r="F25" s="15">
        <f t="shared" si="2"/>
        <v>233268.46100759145</v>
      </c>
      <c r="G25" s="15">
        <f t="shared" si="2"/>
        <v>406575.4783841247</v>
      </c>
      <c r="H25" s="80">
        <f t="shared" si="2"/>
        <v>556929.2379471228</v>
      </c>
      <c r="I25" s="66">
        <f t="shared" si="2"/>
        <v>473460.9494640122</v>
      </c>
      <c r="J25" s="53">
        <f t="shared" si="2"/>
        <v>1787781.6593886463</v>
      </c>
      <c r="K25" s="66">
        <f t="shared" si="2"/>
        <v>1350478.3549783549</v>
      </c>
      <c r="L25" s="15">
        <f t="shared" si="2"/>
        <v>1019756.7370721049</v>
      </c>
      <c r="M25" s="15">
        <f t="shared" si="2"/>
        <v>837127.7173913043</v>
      </c>
      <c r="N25" s="15">
        <f>N12/N17*1000</f>
        <v>752356.8242640499</v>
      </c>
      <c r="O25" s="15">
        <f>O12/O17*1000</f>
        <v>814947.4903474903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9"/>
      <c r="L26" s="6"/>
      <c r="M26" s="6"/>
      <c r="N26" s="6"/>
      <c r="O26" s="6"/>
    </row>
    <row r="27" spans="1:15" ht="12.75">
      <c r="A27" s="3" t="s">
        <v>15</v>
      </c>
      <c r="B27" s="20">
        <f>B13/B12</f>
        <v>24.51690791874468</v>
      </c>
      <c r="C27" s="20">
        <f>C13/C12</f>
        <v>53.27771923662335</v>
      </c>
      <c r="D27" s="21">
        <f aca="true" t="shared" si="3" ref="D27:M27">D15/D12*100</f>
        <v>1068.6674641375448</v>
      </c>
      <c r="E27" s="21">
        <f t="shared" si="3"/>
        <v>2327.3160479440653</v>
      </c>
      <c r="F27" s="21">
        <f t="shared" si="3"/>
        <v>656.1558078850671</v>
      </c>
      <c r="G27" s="21">
        <f t="shared" si="3"/>
        <v>406.3560045879396</v>
      </c>
      <c r="H27" s="83">
        <f t="shared" si="3"/>
        <v>342.8905727502091</v>
      </c>
      <c r="I27" s="70">
        <f t="shared" si="3"/>
        <v>395.5500210240321</v>
      </c>
      <c r="J27" s="97">
        <f t="shared" si="3"/>
        <v>118.51969457892241</v>
      </c>
      <c r="K27" s="70">
        <f t="shared" si="3"/>
        <v>216.11651688808894</v>
      </c>
      <c r="L27" s="21">
        <f t="shared" si="3"/>
        <v>237.2935721499351</v>
      </c>
      <c r="M27" s="21">
        <f t="shared" si="3"/>
        <v>319.95089748958276</v>
      </c>
      <c r="N27" s="21">
        <f>N15/N12*100</f>
        <v>557.4294041205038</v>
      </c>
      <c r="O27" s="21">
        <f>O15/O12*100</f>
        <v>456.8275000781726</v>
      </c>
    </row>
    <row r="28" spans="1:15" ht="12.75">
      <c r="A28" s="3" t="s">
        <v>16</v>
      </c>
      <c r="B28" s="10">
        <f>B13/B17*1000</f>
        <v>1372279.1489361702</v>
      </c>
      <c r="C28" s="10">
        <f>C13/C17*1000</f>
        <v>1194343.8320209973</v>
      </c>
      <c r="D28" s="11">
        <f aca="true" t="shared" si="4" ref="D28:I28">D15/D17*1000</f>
        <v>1608085</v>
      </c>
      <c r="E28" s="11">
        <f t="shared" si="4"/>
        <v>1551199.7226074894</v>
      </c>
      <c r="F28" s="11">
        <f t="shared" si="4"/>
        <v>1530604.5548654245</v>
      </c>
      <c r="G28" s="11">
        <f t="shared" si="4"/>
        <v>1652143.8695960313</v>
      </c>
      <c r="H28" s="76">
        <f t="shared" si="4"/>
        <v>1909657.8538102645</v>
      </c>
      <c r="I28" s="62">
        <f t="shared" si="4"/>
        <v>1872774.8851454824</v>
      </c>
      <c r="J28" s="91">
        <f aca="true" t="shared" si="5" ref="J28:O28">J15/J17*1000</f>
        <v>2118873.362445415</v>
      </c>
      <c r="K28" s="62">
        <f t="shared" si="5"/>
        <v>2918606.7821067823</v>
      </c>
      <c r="L28" s="11">
        <f t="shared" si="5"/>
        <v>2419817.1886380194</v>
      </c>
      <c r="M28" s="11">
        <f t="shared" si="5"/>
        <v>2678397.644927536</v>
      </c>
      <c r="N28" s="11">
        <f t="shared" si="5"/>
        <v>4193858.1623550397</v>
      </c>
      <c r="O28" s="11">
        <f t="shared" si="5"/>
        <v>3722904.247104247</v>
      </c>
    </row>
    <row r="29" spans="1:15" ht="13.5" thickBot="1">
      <c r="A29" s="7" t="s">
        <v>17</v>
      </c>
      <c r="B29" s="29">
        <f>B14/B17*1000</f>
        <v>882930.2127659575</v>
      </c>
      <c r="C29" s="29">
        <f>C14/C17*1000</f>
        <v>881188.1014873141</v>
      </c>
      <c r="D29" s="30">
        <f aca="true" t="shared" si="6" ref="D29:I29">D16/D17*1000</f>
        <v>1187084.2857142857</v>
      </c>
      <c r="E29" s="30">
        <f t="shared" si="6"/>
        <v>1162262.1359223302</v>
      </c>
      <c r="F29" s="30">
        <f t="shared" si="6"/>
        <v>1149619.7377501726</v>
      </c>
      <c r="G29" s="30">
        <f t="shared" si="6"/>
        <v>1335598.8660524453</v>
      </c>
      <c r="H29" s="84">
        <f t="shared" si="6"/>
        <v>1462873.2503888025</v>
      </c>
      <c r="I29" s="71">
        <f t="shared" si="6"/>
        <v>1437274.8851454824</v>
      </c>
      <c r="J29" s="98">
        <f aca="true" t="shared" si="7" ref="J29:O29">J16/J17*1000</f>
        <v>1713199.4177583696</v>
      </c>
      <c r="K29" s="71">
        <f t="shared" si="7"/>
        <v>1681601.7316017316</v>
      </c>
      <c r="L29" s="30">
        <f t="shared" si="7"/>
        <v>1750658.4122359795</v>
      </c>
      <c r="M29" s="30">
        <f t="shared" si="7"/>
        <v>2051929.347826087</v>
      </c>
      <c r="N29" s="30">
        <f t="shared" si="7"/>
        <v>3597058.8760035685</v>
      </c>
      <c r="O29" s="30">
        <f t="shared" si="7"/>
        <v>1718915.8301158303</v>
      </c>
    </row>
    <row r="30" spans="1:4" ht="12.75">
      <c r="A30" s="8"/>
      <c r="B30" s="8"/>
      <c r="C30" s="8"/>
      <c r="D30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T39" sqref="T39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hidden="1" customWidth="1"/>
    <col min="7" max="7" width="12.00390625" style="0" hidden="1" customWidth="1"/>
    <col min="8" max="8" width="13.00390625" style="0" hidden="1" customWidth="1"/>
    <col min="9" max="9" width="12.75390625" style="0" hidden="1" customWidth="1"/>
    <col min="10" max="10" width="13.125" style="0" hidden="1" customWidth="1"/>
    <col min="11" max="12" width="13.125" style="0" customWidth="1"/>
    <col min="13" max="13" width="12.37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v>166015000</v>
      </c>
      <c r="C10" s="10">
        <v>171354000</v>
      </c>
      <c r="D10" s="44">
        <v>208850701</v>
      </c>
      <c r="E10" s="44">
        <v>225634568</v>
      </c>
      <c r="F10" s="44">
        <v>323451572</v>
      </c>
      <c r="G10" s="44">
        <v>514523656</v>
      </c>
      <c r="H10" s="85">
        <v>513725958</v>
      </c>
      <c r="I10" s="67">
        <v>576506118</v>
      </c>
      <c r="J10" s="99">
        <v>606664861</v>
      </c>
      <c r="K10" s="44">
        <v>520933983</v>
      </c>
      <c r="L10" s="11">
        <v>546662171</v>
      </c>
      <c r="M10" s="11">
        <v>553773074</v>
      </c>
      <c r="N10" s="11">
        <v>583574041</v>
      </c>
      <c r="O10" s="11">
        <v>608997658</v>
      </c>
    </row>
    <row r="11" spans="1:15" ht="12.75">
      <c r="A11" s="3" t="s">
        <v>7</v>
      </c>
      <c r="B11" s="10">
        <v>17941</v>
      </c>
      <c r="C11" s="10">
        <v>16183</v>
      </c>
      <c r="D11" s="11">
        <v>51653</v>
      </c>
      <c r="E11" s="11">
        <v>38317</v>
      </c>
      <c r="F11" s="11">
        <v>56620</v>
      </c>
      <c r="G11" s="11">
        <v>33608</v>
      </c>
      <c r="H11" s="76">
        <v>42518</v>
      </c>
      <c r="I11" s="62">
        <v>31645</v>
      </c>
      <c r="J11" s="91">
        <v>50363</v>
      </c>
      <c r="K11" s="11">
        <v>1956276</v>
      </c>
      <c r="L11" s="11">
        <v>1855498</v>
      </c>
      <c r="M11" s="11">
        <v>1517961</v>
      </c>
      <c r="N11" s="11">
        <v>1437312</v>
      </c>
      <c r="O11" s="11">
        <v>505961</v>
      </c>
    </row>
    <row r="12" spans="1:15" ht="12.75">
      <c r="A12" s="4" t="s">
        <v>5</v>
      </c>
      <c r="B12" s="12">
        <f aca="true" t="shared" si="0" ref="B12:K12">SUM(B10:B11)</f>
        <v>166032941</v>
      </c>
      <c r="C12" s="12">
        <f t="shared" si="0"/>
        <v>171370183</v>
      </c>
      <c r="D12" s="13">
        <f t="shared" si="0"/>
        <v>208902354</v>
      </c>
      <c r="E12" s="13">
        <f t="shared" si="0"/>
        <v>225672885</v>
      </c>
      <c r="F12" s="13">
        <f t="shared" si="0"/>
        <v>323508192</v>
      </c>
      <c r="G12" s="13">
        <f t="shared" si="0"/>
        <v>514557264</v>
      </c>
      <c r="H12" s="77">
        <f t="shared" si="0"/>
        <v>513768476</v>
      </c>
      <c r="I12" s="63">
        <f t="shared" si="0"/>
        <v>576537763</v>
      </c>
      <c r="J12" s="92">
        <f t="shared" si="0"/>
        <v>606715224</v>
      </c>
      <c r="K12" s="13">
        <f t="shared" si="0"/>
        <v>522890259</v>
      </c>
      <c r="L12" s="13">
        <f>SUM(L10:L11)</f>
        <v>548517669</v>
      </c>
      <c r="M12" s="13">
        <f>SUM(M10:M11)</f>
        <v>555291035</v>
      </c>
      <c r="N12" s="13">
        <f>SUM(N10:N11)</f>
        <v>585011353</v>
      </c>
      <c r="O12" s="13">
        <f>SUM(O10:O11)</f>
        <v>609503619</v>
      </c>
    </row>
    <row r="13" spans="1:15" ht="12.75" hidden="1">
      <c r="A13" s="55" t="s">
        <v>6</v>
      </c>
      <c r="B13" s="56">
        <v>4531326</v>
      </c>
      <c r="C13" s="56">
        <v>4581385</v>
      </c>
      <c r="D13" s="57">
        <v>5902626</v>
      </c>
      <c r="E13" s="57">
        <v>6417899</v>
      </c>
      <c r="F13" s="57">
        <v>6610832</v>
      </c>
      <c r="G13" s="57">
        <v>6926330</v>
      </c>
      <c r="H13" s="78">
        <v>7234856</v>
      </c>
      <c r="I13" s="64">
        <v>7635423</v>
      </c>
      <c r="J13" s="93">
        <v>7928825</v>
      </c>
      <c r="K13" s="57">
        <v>7983688</v>
      </c>
      <c r="L13" s="57">
        <v>7424143</v>
      </c>
      <c r="M13" s="57">
        <v>7972021</v>
      </c>
      <c r="N13" s="57">
        <v>7972021</v>
      </c>
      <c r="O13" s="57">
        <v>7972021</v>
      </c>
    </row>
    <row r="14" spans="1:15" ht="12.75" hidden="1">
      <c r="A14" s="3" t="s">
        <v>2</v>
      </c>
      <c r="B14" s="10">
        <v>3840727</v>
      </c>
      <c r="C14" s="10">
        <v>3834738</v>
      </c>
      <c r="D14" s="11">
        <v>5543168</v>
      </c>
      <c r="E14" s="11">
        <v>5981917</v>
      </c>
      <c r="F14" s="11">
        <v>6285173</v>
      </c>
      <c r="G14" s="11">
        <v>6513866</v>
      </c>
      <c r="H14" s="76">
        <v>6941058</v>
      </c>
      <c r="I14" s="62">
        <v>7300002</v>
      </c>
      <c r="J14" s="91">
        <v>7440034</v>
      </c>
      <c r="K14" s="11">
        <v>7732931</v>
      </c>
      <c r="L14" s="11">
        <v>7223784</v>
      </c>
      <c r="M14" s="11">
        <v>7185229</v>
      </c>
      <c r="N14" s="11">
        <v>7185229</v>
      </c>
      <c r="O14" s="11">
        <v>7185229</v>
      </c>
    </row>
    <row r="15" spans="1:15" ht="12.75">
      <c r="A15" s="106" t="s">
        <v>25</v>
      </c>
      <c r="B15" s="16"/>
      <c r="C15" s="16"/>
      <c r="D15" s="17">
        <f>D13-31096</f>
        <v>5871530</v>
      </c>
      <c r="E15" s="54">
        <f>E13-53473</f>
        <v>6364426</v>
      </c>
      <c r="F15" s="54">
        <f>F13-112833</f>
        <v>6497999</v>
      </c>
      <c r="G15" s="54">
        <f>G13-238349</f>
        <v>6687981</v>
      </c>
      <c r="H15" s="79">
        <f>H13-177309</f>
        <v>7057547</v>
      </c>
      <c r="I15" s="65">
        <v>7458474</v>
      </c>
      <c r="J15" s="54">
        <f>J13</f>
        <v>7928825</v>
      </c>
      <c r="K15" s="54">
        <f>K13</f>
        <v>7983688</v>
      </c>
      <c r="L15" s="54">
        <f>L13</f>
        <v>7424143</v>
      </c>
      <c r="M15" s="59">
        <f>M13</f>
        <v>7972021</v>
      </c>
      <c r="N15" s="59">
        <v>8335333</v>
      </c>
      <c r="O15" s="59">
        <v>8490509</v>
      </c>
    </row>
    <row r="16" spans="1:15" ht="12.75">
      <c r="A16" s="3" t="s">
        <v>2</v>
      </c>
      <c r="B16" s="14"/>
      <c r="C16" s="14"/>
      <c r="D16" s="15">
        <f>D14-21158</f>
        <v>5522010</v>
      </c>
      <c r="E16" s="53">
        <f>E14-29140</f>
        <v>5952777</v>
      </c>
      <c r="F16" s="53">
        <f>F14-72492</f>
        <v>6212681</v>
      </c>
      <c r="G16" s="53">
        <f>G14-39594</f>
        <v>6474272</v>
      </c>
      <c r="H16" s="80">
        <f>H14-35183</f>
        <v>6905875</v>
      </c>
      <c r="I16" s="66">
        <v>7269592</v>
      </c>
      <c r="J16" s="53">
        <f>J14</f>
        <v>7440034</v>
      </c>
      <c r="K16" s="53">
        <f>K14</f>
        <v>7732931</v>
      </c>
      <c r="L16" s="53">
        <f>L14</f>
        <v>7223784</v>
      </c>
      <c r="M16" s="11">
        <v>7185229</v>
      </c>
      <c r="N16" s="11">
        <v>7256847</v>
      </c>
      <c r="O16" s="11">
        <v>7521146</v>
      </c>
    </row>
    <row r="17" spans="1:16" ht="13.5" thickBot="1">
      <c r="A17" s="31" t="s">
        <v>3</v>
      </c>
      <c r="B17" s="32">
        <v>14105</v>
      </c>
      <c r="C17" s="32">
        <v>14121</v>
      </c>
      <c r="D17" s="33">
        <v>15649</v>
      </c>
      <c r="E17" s="45">
        <v>15668</v>
      </c>
      <c r="F17" s="45">
        <v>15600</v>
      </c>
      <c r="G17" s="45">
        <v>15474</v>
      </c>
      <c r="H17" s="81">
        <v>15619</v>
      </c>
      <c r="I17" s="45">
        <v>15629</v>
      </c>
      <c r="J17" s="95">
        <v>15379</v>
      </c>
      <c r="K17" s="45">
        <v>15330</v>
      </c>
      <c r="L17" s="45">
        <v>15040</v>
      </c>
      <c r="M17" s="45">
        <v>14677</v>
      </c>
      <c r="N17" s="45">
        <v>14710</v>
      </c>
      <c r="O17" s="45">
        <v>14919</v>
      </c>
      <c r="P17" s="51">
        <f>O17-N17</f>
        <v>209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18"/>
      <c r="C23" s="18"/>
      <c r="D23" s="19"/>
      <c r="E23" s="19"/>
      <c r="F23" s="19"/>
      <c r="G23" s="19"/>
      <c r="H23" s="88"/>
      <c r="I23" s="73"/>
      <c r="J23" s="102"/>
      <c r="K23" s="19"/>
      <c r="L23" s="6"/>
      <c r="M23" s="6"/>
      <c r="N23" s="6"/>
      <c r="O23" s="6"/>
    </row>
    <row r="24" spans="1:15" ht="12.75">
      <c r="A24" s="3" t="s">
        <v>8</v>
      </c>
      <c r="B24" s="20">
        <f>B12/B13</f>
        <v>36.64113793622441</v>
      </c>
      <c r="C24" s="20">
        <f>C12/C13</f>
        <v>37.40575895717125</v>
      </c>
      <c r="D24" s="21">
        <f aca="true" t="shared" si="1" ref="D24:M24">D12/D15</f>
        <v>35.57886172769278</v>
      </c>
      <c r="E24" s="21">
        <f t="shared" si="1"/>
        <v>35.45848203750032</v>
      </c>
      <c r="F24" s="21">
        <f t="shared" si="1"/>
        <v>49.785817449340946</v>
      </c>
      <c r="G24" s="21">
        <f t="shared" si="1"/>
        <v>76.9376085249046</v>
      </c>
      <c r="H24" s="83">
        <f t="shared" si="1"/>
        <v>72.79703216995934</v>
      </c>
      <c r="I24" s="70">
        <f t="shared" si="1"/>
        <v>77.29969468285336</v>
      </c>
      <c r="J24" s="97">
        <f t="shared" si="1"/>
        <v>76.52019359741197</v>
      </c>
      <c r="K24" s="21">
        <f t="shared" si="1"/>
        <v>65.49482632587846</v>
      </c>
      <c r="L24" s="21">
        <f t="shared" si="1"/>
        <v>73.88296117141063</v>
      </c>
      <c r="M24" s="21">
        <f t="shared" si="1"/>
        <v>69.65498899212633</v>
      </c>
      <c r="N24" s="21">
        <f>N12/N15</f>
        <v>70.18452088236907</v>
      </c>
      <c r="O24" s="21">
        <f>O12/O15</f>
        <v>71.7864640388462</v>
      </c>
    </row>
    <row r="25" spans="1:15" ht="13.5" thickBot="1">
      <c r="A25" s="5" t="s">
        <v>18</v>
      </c>
      <c r="B25" s="14">
        <f aca="true" t="shared" si="2" ref="B25:M25">B12/B17*1000</f>
        <v>11771211.697979439</v>
      </c>
      <c r="C25" s="14">
        <f t="shared" si="2"/>
        <v>12135839.034062743</v>
      </c>
      <c r="D25" s="15">
        <f t="shared" si="2"/>
        <v>13349246.21381558</v>
      </c>
      <c r="E25" s="15">
        <f t="shared" si="2"/>
        <v>14403426.410518253</v>
      </c>
      <c r="F25" s="15">
        <f t="shared" si="2"/>
        <v>20737704.615384616</v>
      </c>
      <c r="G25" s="15">
        <f t="shared" si="2"/>
        <v>33253022.10158976</v>
      </c>
      <c r="H25" s="80">
        <f t="shared" si="2"/>
        <v>32893813.688456364</v>
      </c>
      <c r="I25" s="66">
        <f t="shared" si="2"/>
        <v>36888973.25484676</v>
      </c>
      <c r="J25" s="53">
        <f t="shared" si="2"/>
        <v>39450889.134534106</v>
      </c>
      <c r="K25" s="15">
        <f t="shared" si="2"/>
        <v>34108953.62035225</v>
      </c>
      <c r="L25" s="15">
        <f t="shared" si="2"/>
        <v>36470589.694148935</v>
      </c>
      <c r="M25" s="15">
        <f t="shared" si="2"/>
        <v>37834096.54561559</v>
      </c>
      <c r="N25" s="15">
        <f>N12/N17*1000</f>
        <v>39769636.50577839</v>
      </c>
      <c r="O25" s="15">
        <f>O12/O17*1000</f>
        <v>40854187.210939065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>
        <f>B13/B12</f>
        <v>0.02729172881422368</v>
      </c>
      <c r="C27" s="20">
        <f>C13/C12</f>
        <v>0.026733851360828623</v>
      </c>
      <c r="D27" s="21">
        <f aca="true" t="shared" si="3" ref="D27:M27">D15/D12*100</f>
        <v>2.810657653000885</v>
      </c>
      <c r="E27" s="21">
        <f t="shared" si="3"/>
        <v>2.820199688589083</v>
      </c>
      <c r="F27" s="21">
        <f t="shared" si="3"/>
        <v>2.0086041592418162</v>
      </c>
      <c r="G27" s="21">
        <f t="shared" si="3"/>
        <v>1.2997544623138388</v>
      </c>
      <c r="H27" s="83">
        <f t="shared" si="3"/>
        <v>1.3736823743930915</v>
      </c>
      <c r="I27" s="70">
        <f t="shared" si="3"/>
        <v>1.2936661704846557</v>
      </c>
      <c r="J27" s="97">
        <f t="shared" si="3"/>
        <v>1.3068445765587051</v>
      </c>
      <c r="K27" s="21">
        <f t="shared" si="3"/>
        <v>1.5268381582147623</v>
      </c>
      <c r="L27" s="21">
        <f t="shared" si="3"/>
        <v>1.353492042204387</v>
      </c>
      <c r="M27" s="21">
        <f t="shared" si="3"/>
        <v>1.4356473448198204</v>
      </c>
      <c r="N27" s="21">
        <f>N15/N12*100</f>
        <v>1.4248155966983431</v>
      </c>
      <c r="O27" s="21">
        <f>O15/O12*100</f>
        <v>1.393020276717996</v>
      </c>
    </row>
    <row r="28" spans="1:15" ht="12.75">
      <c r="A28" s="3" t="s">
        <v>16</v>
      </c>
      <c r="B28" s="10">
        <f>B13/B17*1000</f>
        <v>321256.7174760723</v>
      </c>
      <c r="C28" s="10">
        <f>C13/C17*1000</f>
        <v>324437.7168755754</v>
      </c>
      <c r="D28" s="11">
        <f aca="true" t="shared" si="4" ref="D28:J28">D15/D17*1000</f>
        <v>375201.61032653844</v>
      </c>
      <c r="E28" s="11">
        <f t="shared" si="4"/>
        <v>406205.38677559356</v>
      </c>
      <c r="F28" s="11">
        <f t="shared" si="4"/>
        <v>416538.39743589744</v>
      </c>
      <c r="G28" s="11">
        <f t="shared" si="4"/>
        <v>432207.63861962</v>
      </c>
      <c r="H28" s="76">
        <f t="shared" si="4"/>
        <v>451856.52090402716</v>
      </c>
      <c r="I28" s="62">
        <f t="shared" si="4"/>
        <v>477220.1676370849</v>
      </c>
      <c r="J28" s="91">
        <f t="shared" si="4"/>
        <v>515561.80505884654</v>
      </c>
      <c r="K28" s="11">
        <f>K15/K17*1000</f>
        <v>520788.51924331376</v>
      </c>
      <c r="L28" s="11">
        <f>L15/L17*1000</f>
        <v>493626.52925531915</v>
      </c>
      <c r="M28" s="11">
        <f>M15/M17*1000</f>
        <v>543164.2024936976</v>
      </c>
      <c r="N28" s="11">
        <f>N15/N17*1000</f>
        <v>566643.9836845683</v>
      </c>
      <c r="O28" s="11">
        <f>O15/O17*1000</f>
        <v>569107.1117367116</v>
      </c>
    </row>
    <row r="29" spans="1:15" ht="13.5" thickBot="1">
      <c r="A29" s="7" t="s">
        <v>17</v>
      </c>
      <c r="B29" s="29">
        <f>B14/B17*1000</f>
        <v>272295.4271534917</v>
      </c>
      <c r="C29" s="29">
        <f>C14/C17*1000</f>
        <v>271562.7788400255</v>
      </c>
      <c r="D29" s="30">
        <f aca="true" t="shared" si="5" ref="D29:J29">D16/D17*1000</f>
        <v>352866.63684580487</v>
      </c>
      <c r="E29" s="30">
        <f t="shared" si="5"/>
        <v>379932.1547102374</v>
      </c>
      <c r="F29" s="30">
        <f t="shared" si="5"/>
        <v>398248.78205128206</v>
      </c>
      <c r="G29" s="30">
        <f t="shared" si="5"/>
        <v>418396.79462323897</v>
      </c>
      <c r="H29" s="84">
        <f t="shared" si="5"/>
        <v>442145.78398104873</v>
      </c>
      <c r="I29" s="71">
        <f t="shared" si="5"/>
        <v>465134.8134877471</v>
      </c>
      <c r="J29" s="98">
        <f t="shared" si="5"/>
        <v>483778.7892580792</v>
      </c>
      <c r="K29" s="30">
        <f>K16/K17*1000</f>
        <v>504431.2459230267</v>
      </c>
      <c r="L29" s="30">
        <f>L16/L17*1000</f>
        <v>480304.7872340426</v>
      </c>
      <c r="M29" s="30">
        <f>M16/M17*1000</f>
        <v>489557.0620699053</v>
      </c>
      <c r="N29" s="30">
        <f>N16/N17*1000</f>
        <v>493327.4643099932</v>
      </c>
      <c r="O29" s="30">
        <f>O16/O17*1000</f>
        <v>504132.04638380586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R37" sqref="R37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7" width="12.25390625" style="0" hidden="1" customWidth="1"/>
    <col min="8" max="8" width="12.625" style="0" hidden="1" customWidth="1"/>
    <col min="9" max="9" width="13.125" style="0" hidden="1" customWidth="1"/>
    <col min="10" max="10" width="13.00390625" style="0" hidden="1" customWidth="1"/>
    <col min="11" max="11" width="13.625" style="0" customWidth="1"/>
    <col min="12" max="12" width="12.75390625" style="0" customWidth="1"/>
    <col min="13" max="14" width="12.625" style="0" customWidth="1"/>
    <col min="15" max="15" width="13.75390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v>190074199</v>
      </c>
      <c r="C10" s="10">
        <v>208234368</v>
      </c>
      <c r="D10" s="43">
        <v>274774314</v>
      </c>
      <c r="E10" s="43">
        <v>292594659</v>
      </c>
      <c r="F10" s="43">
        <v>233094216</v>
      </c>
      <c r="G10" s="43">
        <v>115227813</v>
      </c>
      <c r="H10" s="87">
        <v>121103833</v>
      </c>
      <c r="I10" s="68">
        <v>144566523</v>
      </c>
      <c r="J10" s="101">
        <v>138645647</v>
      </c>
      <c r="K10" s="43">
        <v>134923115</v>
      </c>
      <c r="L10" s="43">
        <v>142083532</v>
      </c>
      <c r="M10" s="44">
        <v>144835990</v>
      </c>
      <c r="N10" s="44">
        <v>144596463</v>
      </c>
      <c r="O10" s="44">
        <v>141478532</v>
      </c>
    </row>
    <row r="11" spans="1:15" ht="12.75">
      <c r="A11" s="3" t="s">
        <v>7</v>
      </c>
      <c r="B11" s="10">
        <v>358223</v>
      </c>
      <c r="C11" s="10">
        <v>631587</v>
      </c>
      <c r="D11" s="11">
        <v>939987</v>
      </c>
      <c r="E11" s="11">
        <v>862121</v>
      </c>
      <c r="F11" s="11">
        <v>731654</v>
      </c>
      <c r="G11" s="11">
        <v>788166</v>
      </c>
      <c r="H11" s="76">
        <v>798270</v>
      </c>
      <c r="I11" s="62">
        <v>807887</v>
      </c>
      <c r="J11" s="91">
        <v>750003</v>
      </c>
      <c r="K11" s="11">
        <v>1735039</v>
      </c>
      <c r="L11" s="11">
        <v>1675483</v>
      </c>
      <c r="M11" s="11">
        <v>1681131</v>
      </c>
      <c r="N11" s="11">
        <v>1277229</v>
      </c>
      <c r="O11" s="11">
        <v>1541860</v>
      </c>
    </row>
    <row r="12" spans="1:15" ht="12.75">
      <c r="A12" s="4" t="s">
        <v>5</v>
      </c>
      <c r="B12" s="12">
        <f aca="true" t="shared" si="0" ref="B12:K12">SUM(B10:B11)</f>
        <v>190432422</v>
      </c>
      <c r="C12" s="12">
        <f t="shared" si="0"/>
        <v>208865955</v>
      </c>
      <c r="D12" s="13">
        <f t="shared" si="0"/>
        <v>275714301</v>
      </c>
      <c r="E12" s="13">
        <f t="shared" si="0"/>
        <v>293456780</v>
      </c>
      <c r="F12" s="13">
        <f t="shared" si="0"/>
        <v>233825870</v>
      </c>
      <c r="G12" s="13">
        <f t="shared" si="0"/>
        <v>116015979</v>
      </c>
      <c r="H12" s="77">
        <f t="shared" si="0"/>
        <v>121902103</v>
      </c>
      <c r="I12" s="63">
        <f t="shared" si="0"/>
        <v>145374410</v>
      </c>
      <c r="J12" s="92">
        <f t="shared" si="0"/>
        <v>139395650</v>
      </c>
      <c r="K12" s="13">
        <f t="shared" si="0"/>
        <v>136658154</v>
      </c>
      <c r="L12" s="13">
        <f>SUM(L10:L11)</f>
        <v>143759015</v>
      </c>
      <c r="M12" s="13">
        <f>SUM(M10:M11)</f>
        <v>146517121</v>
      </c>
      <c r="N12" s="13">
        <f>SUM(N10:N11)</f>
        <v>145873692</v>
      </c>
      <c r="O12" s="13">
        <f>SUM(O10:O11)</f>
        <v>143020392</v>
      </c>
    </row>
    <row r="13" spans="1:15" ht="12.75" hidden="1">
      <c r="A13" s="55" t="s">
        <v>6</v>
      </c>
      <c r="B13" s="56">
        <v>4125119</v>
      </c>
      <c r="C13" s="56">
        <v>3943229</v>
      </c>
      <c r="D13" s="57">
        <v>4245469</v>
      </c>
      <c r="E13" s="57">
        <v>4701540</v>
      </c>
      <c r="F13" s="57">
        <v>4741003</v>
      </c>
      <c r="G13" s="57">
        <v>4639068</v>
      </c>
      <c r="H13" s="78">
        <f>4542556+1</f>
        <v>4542557</v>
      </c>
      <c r="I13" s="64">
        <v>4854309</v>
      </c>
      <c r="J13" s="93">
        <v>4662360</v>
      </c>
      <c r="K13" s="57">
        <v>4923593</v>
      </c>
      <c r="L13" s="57">
        <v>4338739</v>
      </c>
      <c r="M13" s="57">
        <v>4032652</v>
      </c>
      <c r="N13" s="57">
        <v>4032652</v>
      </c>
      <c r="O13" s="57">
        <v>4032652</v>
      </c>
    </row>
    <row r="14" spans="1:15" ht="12.75" hidden="1">
      <c r="A14" s="3" t="s">
        <v>14</v>
      </c>
      <c r="B14" s="10">
        <v>3016434</v>
      </c>
      <c r="C14" s="10">
        <v>3102536</v>
      </c>
      <c r="D14" s="11">
        <v>3866266</v>
      </c>
      <c r="E14" s="11">
        <v>4183606</v>
      </c>
      <c r="F14" s="11">
        <v>4151560</v>
      </c>
      <c r="G14" s="11">
        <v>4197450</v>
      </c>
      <c r="H14" s="76">
        <f>4119632+1</f>
        <v>4119633</v>
      </c>
      <c r="I14" s="62">
        <v>4369544</v>
      </c>
      <c r="J14" s="91">
        <v>4409252</v>
      </c>
      <c r="K14" s="11">
        <v>4526833</v>
      </c>
      <c r="L14" s="11">
        <v>4182621</v>
      </c>
      <c r="M14" s="11">
        <v>3905274</v>
      </c>
      <c r="N14" s="11">
        <v>3905274</v>
      </c>
      <c r="O14" s="11">
        <v>3905274</v>
      </c>
    </row>
    <row r="15" spans="1:15" ht="12.75">
      <c r="A15" s="106" t="s">
        <v>25</v>
      </c>
      <c r="B15" s="16"/>
      <c r="C15" s="16"/>
      <c r="D15" s="17">
        <f>D13-25217</f>
        <v>4220252</v>
      </c>
      <c r="E15" s="54">
        <f>E13-96976</f>
        <v>4604564</v>
      </c>
      <c r="F15" s="54">
        <f>F13-210305</f>
        <v>4530698</v>
      </c>
      <c r="G15" s="54">
        <f>G13-327647</f>
        <v>4311421</v>
      </c>
      <c r="H15" s="79">
        <f>H13-182769</f>
        <v>4359788</v>
      </c>
      <c r="I15" s="65">
        <f>I13-52496</f>
        <v>4801813</v>
      </c>
      <c r="J15" s="54">
        <v>4662360</v>
      </c>
      <c r="K15" s="54">
        <v>4923593</v>
      </c>
      <c r="L15" s="54">
        <v>4338739</v>
      </c>
      <c r="M15" s="59">
        <v>4032652</v>
      </c>
      <c r="N15" s="59">
        <v>3975614</v>
      </c>
      <c r="O15" s="59">
        <v>4064267</v>
      </c>
    </row>
    <row r="16" spans="1:15" ht="12.75">
      <c r="A16" s="3" t="s">
        <v>14</v>
      </c>
      <c r="B16" s="14"/>
      <c r="C16" s="14"/>
      <c r="D16" s="15">
        <f>D14-9067</f>
        <v>3857199</v>
      </c>
      <c r="E16" s="53">
        <f>E14-4333</f>
        <v>4179273</v>
      </c>
      <c r="F16" s="53">
        <f>F14-121633</f>
        <v>4029927</v>
      </c>
      <c r="G16" s="53">
        <f>G14-168110</f>
        <v>4029340</v>
      </c>
      <c r="H16" s="80">
        <f>H14-17483</f>
        <v>4102150</v>
      </c>
      <c r="I16" s="66">
        <v>4324569</v>
      </c>
      <c r="J16" s="53">
        <v>4409252</v>
      </c>
      <c r="K16" s="53">
        <v>4526833</v>
      </c>
      <c r="L16" s="53">
        <v>4182621</v>
      </c>
      <c r="M16" s="11">
        <v>3905274</v>
      </c>
      <c r="N16" s="11">
        <v>3764041</v>
      </c>
      <c r="O16" s="11">
        <v>3821396</v>
      </c>
    </row>
    <row r="17" spans="1:16" ht="13.5" thickBot="1">
      <c r="A17" s="31" t="s">
        <v>3</v>
      </c>
      <c r="B17" s="32">
        <v>9173</v>
      </c>
      <c r="C17" s="32">
        <v>9267</v>
      </c>
      <c r="D17" s="33">
        <v>9221</v>
      </c>
      <c r="E17" s="45">
        <v>9164</v>
      </c>
      <c r="F17" s="45">
        <v>7867</v>
      </c>
      <c r="G17" s="45">
        <v>7029</v>
      </c>
      <c r="H17" s="81">
        <v>6762</v>
      </c>
      <c r="I17" s="45">
        <v>6551</v>
      </c>
      <c r="J17" s="95">
        <v>6202</v>
      </c>
      <c r="K17" s="45">
        <v>6194</v>
      </c>
      <c r="L17" s="45">
        <v>5890</v>
      </c>
      <c r="M17" s="45">
        <v>5614</v>
      </c>
      <c r="N17" s="45">
        <v>5467</v>
      </c>
      <c r="O17" s="45">
        <v>5371</v>
      </c>
      <c r="P17" s="51">
        <f>O17-N17</f>
        <v>-96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5" s="49" customFormat="1" ht="12.75">
      <c r="A19" s="46"/>
      <c r="B19" s="47"/>
      <c r="C19" s="47"/>
      <c r="D19" s="47"/>
      <c r="E19" s="48"/>
      <c r="F19" s="48"/>
      <c r="G19" s="48"/>
      <c r="H19" s="46"/>
      <c r="I19" s="46"/>
      <c r="J19" s="46"/>
      <c r="L19"/>
      <c r="M19"/>
      <c r="N19"/>
      <c r="O19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>
        <f>B12/B13</f>
        <v>46.164103871912545</v>
      </c>
      <c r="C24" s="20">
        <f>C12/C13</f>
        <v>52.968253936050885</v>
      </c>
      <c r="D24" s="21">
        <f aca="true" t="shared" si="1" ref="D24:M24">D12/D15</f>
        <v>65.33124112019851</v>
      </c>
      <c r="E24" s="21">
        <f t="shared" si="1"/>
        <v>63.73171922466492</v>
      </c>
      <c r="F24" s="21">
        <f t="shared" si="1"/>
        <v>51.60923769361807</v>
      </c>
      <c r="G24" s="21">
        <f t="shared" si="1"/>
        <v>26.908988706971552</v>
      </c>
      <c r="H24" s="83">
        <f t="shared" si="1"/>
        <v>27.960557485822704</v>
      </c>
      <c r="I24" s="70">
        <f t="shared" si="1"/>
        <v>30.274900334519483</v>
      </c>
      <c r="J24" s="97">
        <f t="shared" si="1"/>
        <v>29.898088092725573</v>
      </c>
      <c r="K24" s="21">
        <f t="shared" si="1"/>
        <v>27.7557779450901</v>
      </c>
      <c r="L24" s="21">
        <f t="shared" si="1"/>
        <v>33.13382413645993</v>
      </c>
      <c r="M24" s="21">
        <f t="shared" si="1"/>
        <v>36.33269644888773</v>
      </c>
      <c r="N24" s="21">
        <f>N12/N15</f>
        <v>36.69211648817013</v>
      </c>
      <c r="O24" s="21">
        <f>O12/O15</f>
        <v>35.18971366792585</v>
      </c>
    </row>
    <row r="25" spans="1:15" ht="13.5" thickBot="1">
      <c r="A25" s="5" t="s">
        <v>18</v>
      </c>
      <c r="B25" s="14">
        <f aca="true" t="shared" si="2" ref="B25:M25">B12/B17*1000</f>
        <v>20760102.692685053</v>
      </c>
      <c r="C25" s="14">
        <f t="shared" si="2"/>
        <v>22538680.80284882</v>
      </c>
      <c r="D25" s="11">
        <f t="shared" si="2"/>
        <v>29900694.176336624</v>
      </c>
      <c r="E25" s="11">
        <f t="shared" si="2"/>
        <v>32022782.627673507</v>
      </c>
      <c r="F25" s="11">
        <f t="shared" si="2"/>
        <v>29722368.119994916</v>
      </c>
      <c r="G25" s="11">
        <f t="shared" si="2"/>
        <v>16505332.052923601</v>
      </c>
      <c r="H25" s="76">
        <f t="shared" si="2"/>
        <v>18027521.887015674</v>
      </c>
      <c r="I25" s="62">
        <f t="shared" si="2"/>
        <v>22191178.44603877</v>
      </c>
      <c r="J25" s="91">
        <f t="shared" si="2"/>
        <v>22475919.05836827</v>
      </c>
      <c r="K25" s="11">
        <f t="shared" si="2"/>
        <v>22062989.021633837</v>
      </c>
      <c r="L25" s="15">
        <f t="shared" si="2"/>
        <v>24407303.056027167</v>
      </c>
      <c r="M25" s="15">
        <f t="shared" si="2"/>
        <v>26098525.293908086</v>
      </c>
      <c r="N25" s="15">
        <f>N12/N17*1000</f>
        <v>26682584.964331444</v>
      </c>
      <c r="O25" s="15">
        <f>O12/O17*1000</f>
        <v>26628261.403835412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>
        <f>B13/B12</f>
        <v>0.021661852307901644</v>
      </c>
      <c r="C27" s="20">
        <f>C13/C12</f>
        <v>0.018879232855349738</v>
      </c>
      <c r="D27" s="21">
        <f aca="true" t="shared" si="3" ref="D27:M27">D15/D12*100</f>
        <v>1.5306612622897642</v>
      </c>
      <c r="E27" s="21">
        <f t="shared" si="3"/>
        <v>1.5690773953152488</v>
      </c>
      <c r="F27" s="21">
        <f t="shared" si="3"/>
        <v>1.9376376104149637</v>
      </c>
      <c r="G27" s="21">
        <f t="shared" si="3"/>
        <v>3.7162303306512627</v>
      </c>
      <c r="H27" s="83">
        <f t="shared" si="3"/>
        <v>3.576466601236568</v>
      </c>
      <c r="I27" s="70">
        <f t="shared" si="3"/>
        <v>3.303066199890339</v>
      </c>
      <c r="J27" s="97">
        <f t="shared" si="3"/>
        <v>3.3446954765087717</v>
      </c>
      <c r="K27" s="21">
        <f t="shared" si="3"/>
        <v>3.602853438222208</v>
      </c>
      <c r="L27" s="21">
        <f t="shared" si="3"/>
        <v>3.0180639454158755</v>
      </c>
      <c r="M27" s="21">
        <f t="shared" si="3"/>
        <v>2.752341823587975</v>
      </c>
      <c r="N27" s="21">
        <f>N15/N12*100</f>
        <v>2.7253810783098573</v>
      </c>
      <c r="O27" s="21">
        <f>O15/O12*100</f>
        <v>2.8417395192148542</v>
      </c>
    </row>
    <row r="28" spans="1:15" ht="12.75">
      <c r="A28" s="3" t="s">
        <v>16</v>
      </c>
      <c r="B28" s="10">
        <f>B13/B17*1000</f>
        <v>449702.2784258149</v>
      </c>
      <c r="C28" s="10">
        <f>C13/C17*1000</f>
        <v>425513.00312938384</v>
      </c>
      <c r="D28" s="11">
        <f aca="true" t="shared" si="4" ref="D28:I28">D15/D17*1000</f>
        <v>457678.34291291615</v>
      </c>
      <c r="E28" s="11">
        <f t="shared" si="4"/>
        <v>502462.24356176343</v>
      </c>
      <c r="F28" s="11">
        <f t="shared" si="4"/>
        <v>575911.7833990086</v>
      </c>
      <c r="G28" s="11">
        <f t="shared" si="4"/>
        <v>613376.1559254517</v>
      </c>
      <c r="H28" s="76">
        <f t="shared" si="4"/>
        <v>644748.2993197278</v>
      </c>
      <c r="I28" s="62">
        <f t="shared" si="4"/>
        <v>732989.3146084568</v>
      </c>
      <c r="J28" s="91">
        <f aca="true" t="shared" si="5" ref="J28:O28">J15/J17*1000</f>
        <v>751751.0480490164</v>
      </c>
      <c r="K28" s="11">
        <f t="shared" si="5"/>
        <v>794897.158540523</v>
      </c>
      <c r="L28" s="11">
        <f t="shared" si="5"/>
        <v>736628.013582343</v>
      </c>
      <c r="M28" s="11">
        <f t="shared" si="5"/>
        <v>718320.6270039188</v>
      </c>
      <c r="N28" s="11">
        <f t="shared" si="5"/>
        <v>727202.1218218402</v>
      </c>
      <c r="O28" s="11">
        <f t="shared" si="5"/>
        <v>756705.8275926271</v>
      </c>
    </row>
    <row r="29" spans="1:15" ht="13.5" thickBot="1">
      <c r="A29" s="7" t="s">
        <v>17</v>
      </c>
      <c r="B29" s="29">
        <f>B14/B17*1000</f>
        <v>328838.32988117303</v>
      </c>
      <c r="C29" s="29">
        <f>C14/C17*1000</f>
        <v>334794.0002158196</v>
      </c>
      <c r="D29" s="30">
        <f aca="true" t="shared" si="6" ref="D29:I29">D16/D17*1000</f>
        <v>418305.93211148464</v>
      </c>
      <c r="E29" s="30">
        <f t="shared" si="6"/>
        <v>456053.360977739</v>
      </c>
      <c r="F29" s="30">
        <f t="shared" si="6"/>
        <v>512257.15012075764</v>
      </c>
      <c r="G29" s="30">
        <f t="shared" si="6"/>
        <v>573245.1273296344</v>
      </c>
      <c r="H29" s="84">
        <f t="shared" si="6"/>
        <v>606647.4415853298</v>
      </c>
      <c r="I29" s="71">
        <f t="shared" si="6"/>
        <v>660138.757441612</v>
      </c>
      <c r="J29" s="98">
        <f aca="true" t="shared" si="7" ref="J29:O29">J16/J17*1000</f>
        <v>710940.3418252176</v>
      </c>
      <c r="K29" s="30">
        <f t="shared" si="7"/>
        <v>730841.6209234743</v>
      </c>
      <c r="L29" s="30">
        <f t="shared" si="7"/>
        <v>710122.4108658744</v>
      </c>
      <c r="M29" s="30">
        <f t="shared" si="7"/>
        <v>695631.2789454934</v>
      </c>
      <c r="N29" s="30">
        <f t="shared" si="7"/>
        <v>688502.1035302725</v>
      </c>
      <c r="O29" s="30">
        <f t="shared" si="7"/>
        <v>711486.8739527089</v>
      </c>
    </row>
    <row r="30" spans="1:4" ht="12.75">
      <c r="A30" s="8"/>
      <c r="B30" s="8"/>
      <c r="C30" s="8"/>
      <c r="D30" s="8"/>
    </row>
    <row r="31" spans="1:6" ht="12.75">
      <c r="A31" s="50" t="s">
        <v>23</v>
      </c>
      <c r="D31" s="51"/>
      <c r="E31" s="51"/>
      <c r="F31" s="5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U30" sqref="T30:U3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11.625" style="0" hidden="1" customWidth="1"/>
    <col min="9" max="9" width="11.25390625" style="0" hidden="1" customWidth="1"/>
    <col min="10" max="10" width="11.375" style="0" hidden="1" customWidth="1"/>
    <col min="11" max="11" width="11.25390625" style="0" customWidth="1"/>
    <col min="12" max="12" width="11.375" style="0" customWidth="1"/>
    <col min="13" max="13" width="13.00390625" style="0" customWidth="1"/>
    <col min="14" max="14" width="12.625" style="0" customWidth="1"/>
    <col min="15" max="15" width="13.75390625" style="0" customWidth="1"/>
  </cols>
  <sheetData>
    <row r="4" spans="1:8" ht="12.75">
      <c r="A4" s="1" t="s">
        <v>19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  <c r="O10" s="44"/>
    </row>
    <row r="11" spans="1:15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>
        <v>991928</v>
      </c>
      <c r="I11" s="62">
        <v>1107956</v>
      </c>
      <c r="J11" s="91">
        <v>1194908</v>
      </c>
      <c r="K11" s="11">
        <v>1165700</v>
      </c>
      <c r="L11" s="11">
        <v>1352535</v>
      </c>
      <c r="M11" s="11">
        <v>1322064</v>
      </c>
      <c r="N11" s="11">
        <v>1255775</v>
      </c>
      <c r="O11" s="11">
        <v>1100960</v>
      </c>
    </row>
    <row r="12" spans="1:15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991928</v>
      </c>
      <c r="I12" s="63">
        <f t="shared" si="0"/>
        <v>1107956</v>
      </c>
      <c r="J12" s="92">
        <f t="shared" si="0"/>
        <v>1194908</v>
      </c>
      <c r="K12" s="13">
        <f t="shared" si="0"/>
        <v>1165700</v>
      </c>
      <c r="L12" s="13">
        <f>SUM(L10:L11)</f>
        <v>1352535</v>
      </c>
      <c r="M12" s="13">
        <f>SUM(M10:M11)</f>
        <v>1322064</v>
      </c>
      <c r="N12" s="13">
        <f>SUM(N10:N11)</f>
        <v>1255775</v>
      </c>
      <c r="O12" s="13">
        <v>1100960</v>
      </c>
    </row>
    <row r="13" spans="1:15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>
        <v>1919410</v>
      </c>
      <c r="I13" s="64">
        <v>1945561</v>
      </c>
      <c r="J13" s="93">
        <v>1812848</v>
      </c>
      <c r="K13" s="57">
        <v>1895330</v>
      </c>
      <c r="L13" s="57">
        <v>1627668</v>
      </c>
      <c r="M13" s="57">
        <v>1526361</v>
      </c>
      <c r="N13" s="57">
        <v>1526361</v>
      </c>
      <c r="O13" s="57">
        <v>1526361</v>
      </c>
    </row>
    <row r="14" spans="1:15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>
        <v>1620458</v>
      </c>
      <c r="I14" s="62">
        <v>1740856</v>
      </c>
      <c r="J14" s="91">
        <v>1701220</v>
      </c>
      <c r="K14" s="11">
        <v>1753522</v>
      </c>
      <c r="L14" s="11">
        <v>1502536</v>
      </c>
      <c r="M14" s="11">
        <v>1389823</v>
      </c>
      <c r="N14" s="11">
        <v>1389823</v>
      </c>
      <c r="O14" s="11">
        <v>1389823</v>
      </c>
    </row>
    <row r="15" spans="1:15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>
        <f>H13-342372</f>
        <v>1577038</v>
      </c>
      <c r="I15" s="65">
        <f>I13-285422</f>
        <v>1660139</v>
      </c>
      <c r="J15" s="54">
        <f aca="true" t="shared" si="1" ref="J15:L16">J13</f>
        <v>1812848</v>
      </c>
      <c r="K15" s="54">
        <f t="shared" si="1"/>
        <v>1895330</v>
      </c>
      <c r="L15" s="54">
        <f t="shared" si="1"/>
        <v>1627668</v>
      </c>
      <c r="M15" s="59">
        <v>1526361</v>
      </c>
      <c r="N15" s="59">
        <v>1551049</v>
      </c>
      <c r="O15" s="59">
        <v>1510607</v>
      </c>
    </row>
    <row r="16" spans="1:15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>
        <f>H14-213299</f>
        <v>1407159</v>
      </c>
      <c r="I16" s="66">
        <f>I14-229242</f>
        <v>1511614</v>
      </c>
      <c r="J16" s="53">
        <f t="shared" si="1"/>
        <v>1701220</v>
      </c>
      <c r="K16" s="53">
        <f t="shared" si="1"/>
        <v>1753522</v>
      </c>
      <c r="L16" s="53">
        <f t="shared" si="1"/>
        <v>1502536</v>
      </c>
      <c r="M16" s="11">
        <v>1389823</v>
      </c>
      <c r="N16" s="11">
        <v>1409362</v>
      </c>
      <c r="O16" s="11">
        <v>1417731</v>
      </c>
    </row>
    <row r="17" spans="1:16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>
        <v>2052</v>
      </c>
      <c r="I17" s="45">
        <v>2027</v>
      </c>
      <c r="J17" s="95">
        <v>1987</v>
      </c>
      <c r="K17" s="45">
        <v>1972</v>
      </c>
      <c r="L17" s="45">
        <v>1883</v>
      </c>
      <c r="M17" s="45">
        <v>1755</v>
      </c>
      <c r="N17" s="45">
        <v>1743</v>
      </c>
      <c r="O17" s="45">
        <v>1746</v>
      </c>
      <c r="P17" s="51">
        <f>O17-N17</f>
        <v>3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2" ref="D24:M24">D12/D15</f>
        <v>0.6035625756614976</v>
      </c>
      <c r="E24" s="21">
        <f t="shared" si="2"/>
        <v>0.2374833492469637</v>
      </c>
      <c r="F24" s="21">
        <f t="shared" si="2"/>
        <v>0.44451951659202776</v>
      </c>
      <c r="G24" s="21">
        <f t="shared" si="2"/>
        <v>0.3902148641362987</v>
      </c>
      <c r="H24" s="83">
        <f t="shared" si="2"/>
        <v>0.6289816732380576</v>
      </c>
      <c r="I24" s="70">
        <f t="shared" si="2"/>
        <v>0.667387489842718</v>
      </c>
      <c r="J24" s="97">
        <f t="shared" si="2"/>
        <v>0.659133032664625</v>
      </c>
      <c r="K24" s="21">
        <f t="shared" si="2"/>
        <v>0.6150380144882421</v>
      </c>
      <c r="L24" s="21">
        <f t="shared" si="2"/>
        <v>0.8309649142208362</v>
      </c>
      <c r="M24" s="21">
        <f t="shared" si="2"/>
        <v>0.8661542059840366</v>
      </c>
      <c r="N24" s="21">
        <f>N12/N15</f>
        <v>0.8096294830143986</v>
      </c>
      <c r="O24" s="21">
        <f>O12/O15</f>
        <v>0.7288196069527018</v>
      </c>
    </row>
    <row r="25" spans="1:15" ht="13.5" thickBot="1">
      <c r="A25" s="5" t="s">
        <v>18</v>
      </c>
      <c r="B25" s="14" t="e">
        <f aca="true" t="shared" si="3" ref="B25:M25">B12/B17*1000</f>
        <v>#DIV/0!</v>
      </c>
      <c r="C25" s="14" t="e">
        <f t="shared" si="3"/>
        <v>#DIV/0!</v>
      </c>
      <c r="D25" s="15">
        <f t="shared" si="3"/>
        <v>397594.93670886074</v>
      </c>
      <c r="E25" s="15">
        <f t="shared" si="3"/>
        <v>141227.63929618767</v>
      </c>
      <c r="F25" s="15">
        <f t="shared" si="3"/>
        <v>290152.22711698484</v>
      </c>
      <c r="G25" s="15">
        <f t="shared" si="3"/>
        <v>282077.2616136919</v>
      </c>
      <c r="H25" s="80">
        <f t="shared" si="3"/>
        <v>483395.71150097466</v>
      </c>
      <c r="I25" s="66">
        <f t="shared" si="3"/>
        <v>546598.9146521954</v>
      </c>
      <c r="J25" s="53">
        <f t="shared" si="3"/>
        <v>601362.8585807751</v>
      </c>
      <c r="K25" s="15">
        <f t="shared" si="3"/>
        <v>591125.7606490871</v>
      </c>
      <c r="L25" s="15">
        <f t="shared" si="3"/>
        <v>718287.3074880509</v>
      </c>
      <c r="M25" s="15">
        <f t="shared" si="3"/>
        <v>753312.8205128205</v>
      </c>
      <c r="N25" s="15">
        <f>N12/N17*1000</f>
        <v>720467.5846242111</v>
      </c>
      <c r="O25" s="15">
        <f>O12/O17*1000</f>
        <v>630561.2829324169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4" ref="D27:M27">D15/D12*100</f>
        <v>165.6829035339064</v>
      </c>
      <c r="E27" s="21">
        <f t="shared" si="4"/>
        <v>421.0821529892101</v>
      </c>
      <c r="F27" s="21">
        <f t="shared" si="4"/>
        <v>224.96200114376137</v>
      </c>
      <c r="G27" s="21">
        <f t="shared" si="4"/>
        <v>256.26906914819847</v>
      </c>
      <c r="H27" s="83">
        <f t="shared" si="4"/>
        <v>158.98714422821013</v>
      </c>
      <c r="I27" s="70">
        <f t="shared" si="4"/>
        <v>149.83798995627987</v>
      </c>
      <c r="J27" s="97">
        <f t="shared" si="4"/>
        <v>151.71444161391506</v>
      </c>
      <c r="K27" s="21">
        <f t="shared" si="4"/>
        <v>162.59157587715535</v>
      </c>
      <c r="L27" s="21">
        <f t="shared" si="4"/>
        <v>120.3420244208098</v>
      </c>
      <c r="M27" s="21">
        <f t="shared" si="4"/>
        <v>115.45288276513088</v>
      </c>
      <c r="N27" s="21">
        <f>N15/N12*100</f>
        <v>123.51328860663733</v>
      </c>
      <c r="O27" s="21">
        <f>O15/O12*100</f>
        <v>137.20816378433366</v>
      </c>
    </row>
    <row r="28" spans="1:15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 aca="true" t="shared" si="5" ref="D28:I28">D15/D17*1000</f>
        <v>658746.835443038</v>
      </c>
      <c r="E28" s="11">
        <f t="shared" si="5"/>
        <v>594684.3841642229</v>
      </c>
      <c r="F28" s="11">
        <f t="shared" si="5"/>
        <v>652732.2564855604</v>
      </c>
      <c r="G28" s="11">
        <f t="shared" si="5"/>
        <v>722876.7726161369</v>
      </c>
      <c r="H28" s="76">
        <f t="shared" si="5"/>
        <v>768537.0370370371</v>
      </c>
      <c r="I28" s="62">
        <f t="shared" si="5"/>
        <v>819012.8268376911</v>
      </c>
      <c r="J28" s="91">
        <f aca="true" t="shared" si="6" ref="J28:O28">J15/J17*1000</f>
        <v>912354.3029693004</v>
      </c>
      <c r="K28" s="11">
        <f t="shared" si="6"/>
        <v>961120.6896551724</v>
      </c>
      <c r="L28" s="11">
        <f t="shared" si="6"/>
        <v>864401.4869888476</v>
      </c>
      <c r="M28" s="11">
        <f t="shared" si="6"/>
        <v>869721.3675213675</v>
      </c>
      <c r="N28" s="11">
        <f t="shared" si="6"/>
        <v>889873.207114171</v>
      </c>
      <c r="O28" s="11">
        <f t="shared" si="6"/>
        <v>865181.5578465062</v>
      </c>
    </row>
    <row r="29" spans="1:15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 aca="true" t="shared" si="7" ref="D29:I29">D16/D17*1000</f>
        <v>573715.1898734177</v>
      </c>
      <c r="E29" s="30">
        <f t="shared" si="7"/>
        <v>574576.6129032258</v>
      </c>
      <c r="F29" s="30">
        <f t="shared" si="7"/>
        <v>600402.8389623102</v>
      </c>
      <c r="G29" s="30">
        <f t="shared" si="7"/>
        <v>633526.6503667482</v>
      </c>
      <c r="H29" s="84">
        <f t="shared" si="7"/>
        <v>685750</v>
      </c>
      <c r="I29" s="71">
        <f t="shared" si="7"/>
        <v>745739.516526887</v>
      </c>
      <c r="J29" s="98">
        <f aca="true" t="shared" si="8" ref="J29:O29">J16/J17*1000</f>
        <v>856175.1383995974</v>
      </c>
      <c r="K29" s="30">
        <f t="shared" si="8"/>
        <v>889209.939148073</v>
      </c>
      <c r="L29" s="30">
        <f t="shared" si="8"/>
        <v>797947.9553903345</v>
      </c>
      <c r="M29" s="30">
        <f t="shared" si="8"/>
        <v>791921.9373219373</v>
      </c>
      <c r="N29" s="30">
        <f t="shared" si="8"/>
        <v>808584.050487665</v>
      </c>
      <c r="O29" s="30">
        <f t="shared" si="8"/>
        <v>811987.972508591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1"/>
  <sheetViews>
    <sheetView workbookViewId="0" topLeftCell="A1">
      <selection activeCell="U30" sqref="T30:U3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7" width="10.25390625" style="0" hidden="1" customWidth="1"/>
    <col min="8" max="8" width="0" style="0" hidden="1" customWidth="1"/>
    <col min="9" max="9" width="10.875" style="0" hidden="1" customWidth="1"/>
    <col min="10" max="10" width="11.00390625" style="0" hidden="1" customWidth="1"/>
    <col min="11" max="11" width="10.625" style="0" customWidth="1"/>
    <col min="12" max="12" width="10.375" style="0" customWidth="1"/>
    <col min="13" max="13" width="13.00390625" style="0" customWidth="1"/>
    <col min="14" max="14" width="12.625" style="0" customWidth="1"/>
    <col min="15" max="15" width="13.75390625" style="0" customWidth="1"/>
  </cols>
  <sheetData>
    <row r="4" spans="1:8" ht="12.75">
      <c r="A4" s="1" t="s">
        <v>20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F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0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/>
      <c r="C10" s="10"/>
      <c r="D10" s="11"/>
      <c r="E10" s="11"/>
      <c r="F10" s="11"/>
      <c r="G10" s="11"/>
      <c r="H10" s="76"/>
      <c r="I10" s="62"/>
      <c r="J10" s="91"/>
      <c r="K10" s="11"/>
      <c r="L10" s="11"/>
      <c r="M10" s="44"/>
      <c r="N10" s="44"/>
      <c r="O10" s="44"/>
    </row>
    <row r="11" spans="1:15" ht="12.75">
      <c r="A11" s="3" t="s">
        <v>7</v>
      </c>
      <c r="B11" s="10"/>
      <c r="C11" s="10"/>
      <c r="D11" s="11">
        <f>62821-1</f>
        <v>62820</v>
      </c>
      <c r="E11" s="11">
        <v>385269</v>
      </c>
      <c r="F11" s="11">
        <v>592781</v>
      </c>
      <c r="G11" s="11">
        <v>576848</v>
      </c>
      <c r="H11" s="76"/>
      <c r="I11" s="62"/>
      <c r="J11" s="91"/>
      <c r="K11" s="11"/>
      <c r="L11" s="11"/>
      <c r="M11" s="11">
        <v>688</v>
      </c>
      <c r="N11" s="11">
        <v>48</v>
      </c>
      <c r="O11" s="11">
        <v>377</v>
      </c>
    </row>
    <row r="12" spans="1:15" ht="12.75">
      <c r="A12" s="4" t="s">
        <v>5</v>
      </c>
      <c r="B12" s="12"/>
      <c r="C12" s="12"/>
      <c r="D12" s="13">
        <f aca="true" t="shared" si="0" ref="D12:K12">D10+D11</f>
        <v>62820</v>
      </c>
      <c r="E12" s="13">
        <f t="shared" si="0"/>
        <v>385269</v>
      </c>
      <c r="F12" s="13">
        <f t="shared" si="0"/>
        <v>592781</v>
      </c>
      <c r="G12" s="13">
        <f t="shared" si="0"/>
        <v>576848</v>
      </c>
      <c r="H12" s="77">
        <f t="shared" si="0"/>
        <v>0</v>
      </c>
      <c r="I12" s="63">
        <f t="shared" si="0"/>
        <v>0</v>
      </c>
      <c r="J12" s="92">
        <f t="shared" si="0"/>
        <v>0</v>
      </c>
      <c r="K12" s="13">
        <f t="shared" si="0"/>
        <v>0</v>
      </c>
      <c r="L12" s="13">
        <f>SUM(L10:L11)</f>
        <v>0</v>
      </c>
      <c r="M12" s="13">
        <f>SUM(M10:M11)</f>
        <v>688</v>
      </c>
      <c r="N12" s="13">
        <f>SUM(N10:N11)</f>
        <v>48</v>
      </c>
      <c r="O12" s="13">
        <f>SUM(O10:O11)</f>
        <v>377</v>
      </c>
    </row>
    <row r="13" spans="1:15" ht="12.75" hidden="1">
      <c r="A13" s="55" t="s">
        <v>6</v>
      </c>
      <c r="B13" s="56"/>
      <c r="C13" s="56"/>
      <c r="D13" s="57">
        <v>106702</v>
      </c>
      <c r="E13" s="57">
        <v>1639374</v>
      </c>
      <c r="F13" s="57">
        <v>1511642</v>
      </c>
      <c r="G13" s="57">
        <v>1783580</v>
      </c>
      <c r="H13" s="78"/>
      <c r="I13" s="64"/>
      <c r="J13" s="93"/>
      <c r="K13" s="57"/>
      <c r="L13" s="57"/>
      <c r="M13" s="57">
        <v>7488</v>
      </c>
      <c r="N13" s="57">
        <v>7488</v>
      </c>
      <c r="O13" s="57">
        <v>7488</v>
      </c>
    </row>
    <row r="14" spans="1:15" ht="12.75" hidden="1">
      <c r="A14" s="3" t="s">
        <v>2</v>
      </c>
      <c r="B14" s="10"/>
      <c r="C14" s="10"/>
      <c r="D14" s="11">
        <v>93267</v>
      </c>
      <c r="E14" s="11">
        <v>1582611</v>
      </c>
      <c r="F14" s="11">
        <v>1381582</v>
      </c>
      <c r="G14" s="11">
        <v>1483152</v>
      </c>
      <c r="H14" s="76"/>
      <c r="I14" s="62"/>
      <c r="J14" s="91"/>
      <c r="K14" s="11"/>
      <c r="L14" s="11"/>
      <c r="M14" s="11">
        <v>6716</v>
      </c>
      <c r="N14" s="11">
        <v>6716</v>
      </c>
      <c r="O14" s="11">
        <v>6716</v>
      </c>
    </row>
    <row r="15" spans="1:15" ht="12.75">
      <c r="A15" s="106" t="s">
        <v>25</v>
      </c>
      <c r="B15" s="14"/>
      <c r="C15" s="14"/>
      <c r="D15" s="17">
        <f>D13-2620</f>
        <v>104082</v>
      </c>
      <c r="E15" s="54">
        <f>E13-17075</f>
        <v>1622299</v>
      </c>
      <c r="F15" s="54">
        <f>F13-178110</f>
        <v>1333532</v>
      </c>
      <c r="G15" s="54">
        <f>G13-305297</f>
        <v>1478283</v>
      </c>
      <c r="H15" s="79"/>
      <c r="I15" s="65"/>
      <c r="J15" s="54"/>
      <c r="K15" s="54"/>
      <c r="L15" s="54"/>
      <c r="M15" s="59">
        <v>7488</v>
      </c>
      <c r="N15" s="59">
        <v>13963</v>
      </c>
      <c r="O15" s="59">
        <v>16017</v>
      </c>
    </row>
    <row r="16" spans="1:15" ht="12.75">
      <c r="A16" s="3" t="s">
        <v>2</v>
      </c>
      <c r="B16" s="14"/>
      <c r="C16" s="14"/>
      <c r="D16" s="15">
        <f>D14-2620</f>
        <v>90647</v>
      </c>
      <c r="E16" s="53">
        <f>E14-15166</f>
        <v>1567445</v>
      </c>
      <c r="F16" s="53">
        <f>F14-154959</f>
        <v>1226623</v>
      </c>
      <c r="G16" s="53">
        <f>G14-187590</f>
        <v>1295562</v>
      </c>
      <c r="H16" s="80"/>
      <c r="I16" s="66"/>
      <c r="J16" s="53"/>
      <c r="K16" s="53"/>
      <c r="L16" s="53"/>
      <c r="M16" s="11">
        <v>6716</v>
      </c>
      <c r="N16" s="11">
        <v>13813</v>
      </c>
      <c r="O16" s="11">
        <v>15432</v>
      </c>
    </row>
    <row r="17" spans="1:16" ht="13.5" thickBot="1">
      <c r="A17" s="31" t="s">
        <v>3</v>
      </c>
      <c r="B17" s="32"/>
      <c r="C17" s="32"/>
      <c r="D17" s="33">
        <v>158</v>
      </c>
      <c r="E17" s="45">
        <v>2728</v>
      </c>
      <c r="F17" s="45">
        <v>2043</v>
      </c>
      <c r="G17" s="45">
        <v>2045</v>
      </c>
      <c r="H17" s="81"/>
      <c r="I17" s="45"/>
      <c r="J17" s="95"/>
      <c r="K17" s="45"/>
      <c r="L17" s="45"/>
      <c r="M17" s="45">
        <v>5</v>
      </c>
      <c r="N17" s="45">
        <v>13</v>
      </c>
      <c r="O17" s="45">
        <v>16</v>
      </c>
      <c r="P17" s="51">
        <f>O17-N17</f>
        <v>3</v>
      </c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36"/>
      <c r="B19" s="37"/>
      <c r="C19" s="37"/>
      <c r="D19" s="37"/>
      <c r="E19" s="42"/>
      <c r="F19" s="42"/>
      <c r="G19" s="42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5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</row>
    <row r="23" spans="1:15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6"/>
    </row>
    <row r="24" spans="1:15" ht="12.75">
      <c r="A24" s="3" t="s">
        <v>8</v>
      </c>
      <c r="B24" s="20" t="e">
        <f>B12/B13</f>
        <v>#DIV/0!</v>
      </c>
      <c r="C24" s="20" t="e">
        <f>C12/C13</f>
        <v>#DIV/0!</v>
      </c>
      <c r="D24" s="21">
        <f aca="true" t="shared" si="1" ref="D24:M24">D12/D15</f>
        <v>0.6035625756614976</v>
      </c>
      <c r="E24" s="21">
        <f t="shared" si="1"/>
        <v>0.2374833492469637</v>
      </c>
      <c r="F24" s="21">
        <f t="shared" si="1"/>
        <v>0.44451951659202776</v>
      </c>
      <c r="G24" s="21">
        <f t="shared" si="1"/>
        <v>0.3902148641362987</v>
      </c>
      <c r="H24" s="83" t="e">
        <f t="shared" si="1"/>
        <v>#DIV/0!</v>
      </c>
      <c r="I24" s="70"/>
      <c r="J24" s="97"/>
      <c r="K24" s="21"/>
      <c r="L24" s="21"/>
      <c r="M24" s="21">
        <f t="shared" si="1"/>
        <v>0.09188034188034189</v>
      </c>
      <c r="N24" s="21">
        <f>N12/N15</f>
        <v>0.003437656664040679</v>
      </c>
      <c r="O24" s="21">
        <f>O12/O15</f>
        <v>0.02353749141537117</v>
      </c>
    </row>
    <row r="25" spans="1:15" ht="13.5" thickBot="1">
      <c r="A25" s="5" t="s">
        <v>18</v>
      </c>
      <c r="B25" s="14" t="e">
        <f aca="true" t="shared" si="2" ref="B25:M25">B12/B17*1000</f>
        <v>#DIV/0!</v>
      </c>
      <c r="C25" s="14" t="e">
        <f t="shared" si="2"/>
        <v>#DIV/0!</v>
      </c>
      <c r="D25" s="15">
        <f t="shared" si="2"/>
        <v>397594.93670886074</v>
      </c>
      <c r="E25" s="15">
        <f t="shared" si="2"/>
        <v>141227.63929618767</v>
      </c>
      <c r="F25" s="15">
        <f t="shared" si="2"/>
        <v>290152.22711698484</v>
      </c>
      <c r="G25" s="15">
        <f t="shared" si="2"/>
        <v>282077.2616136919</v>
      </c>
      <c r="H25" s="80" t="e">
        <f t="shared" si="2"/>
        <v>#DIV/0!</v>
      </c>
      <c r="I25" s="66"/>
      <c r="J25" s="53"/>
      <c r="K25" s="15"/>
      <c r="L25" s="15"/>
      <c r="M25" s="15">
        <f t="shared" si="2"/>
        <v>137600</v>
      </c>
      <c r="N25" s="15">
        <f>N12/N17*1000</f>
        <v>3692.3076923076924</v>
      </c>
      <c r="O25" s="15">
        <f>O12/O17*1000</f>
        <v>23562.5</v>
      </c>
    </row>
    <row r="26" spans="1:15" ht="12.75">
      <c r="A26" s="41" t="s">
        <v>22</v>
      </c>
      <c r="B26" s="2"/>
      <c r="C26" s="2"/>
      <c r="D26" s="6"/>
      <c r="E26" s="6"/>
      <c r="F26" s="6"/>
      <c r="G26" s="6"/>
      <c r="H26" s="82"/>
      <c r="I26" s="69"/>
      <c r="J26" s="96"/>
      <c r="K26" s="6"/>
      <c r="L26" s="6"/>
      <c r="M26" s="6"/>
      <c r="N26" s="6"/>
      <c r="O26" s="6"/>
    </row>
    <row r="27" spans="1:15" ht="12.75">
      <c r="A27" s="3" t="s">
        <v>15</v>
      </c>
      <c r="B27" s="20" t="e">
        <f>B13/B12</f>
        <v>#DIV/0!</v>
      </c>
      <c r="C27" s="20" t="e">
        <f>C13/C12</f>
        <v>#DIV/0!</v>
      </c>
      <c r="D27" s="21">
        <f aca="true" t="shared" si="3" ref="D27:M27">D15/D12*100</f>
        <v>165.6829035339064</v>
      </c>
      <c r="E27" s="21">
        <f t="shared" si="3"/>
        <v>421.0821529892101</v>
      </c>
      <c r="F27" s="21">
        <f t="shared" si="3"/>
        <v>224.96200114376137</v>
      </c>
      <c r="G27" s="21">
        <f t="shared" si="3"/>
        <v>256.26906914819847</v>
      </c>
      <c r="H27" s="83" t="e">
        <f t="shared" si="3"/>
        <v>#DIV/0!</v>
      </c>
      <c r="I27" s="70"/>
      <c r="J27" s="97"/>
      <c r="K27" s="21"/>
      <c r="L27" s="21"/>
      <c r="M27" s="21">
        <f t="shared" si="3"/>
        <v>1088.3720930232557</v>
      </c>
      <c r="N27" s="21">
        <f>N15/N12*100</f>
        <v>29089.583333333332</v>
      </c>
      <c r="O27" s="21">
        <f>O15/O12*100</f>
        <v>4248.541114058355</v>
      </c>
    </row>
    <row r="28" spans="1:15" ht="12.75">
      <c r="A28" s="3" t="s">
        <v>16</v>
      </c>
      <c r="B28" s="10" t="e">
        <f>B13/B17*1000</f>
        <v>#DIV/0!</v>
      </c>
      <c r="C28" s="10" t="e">
        <f>C13/C17*1000</f>
        <v>#DIV/0!</v>
      </c>
      <c r="D28" s="11">
        <f>D15/D17*1000</f>
        <v>658746.835443038</v>
      </c>
      <c r="E28" s="11">
        <f>E15/E17*1000</f>
        <v>594684.3841642229</v>
      </c>
      <c r="F28" s="11">
        <f>F15/F17*1000</f>
        <v>652732.2564855604</v>
      </c>
      <c r="G28" s="11">
        <f>G15/G17*1000</f>
        <v>722876.7726161369</v>
      </c>
      <c r="H28" s="76" t="e">
        <f>H15/H17*1000</f>
        <v>#DIV/0!</v>
      </c>
      <c r="I28" s="62"/>
      <c r="J28" s="91"/>
      <c r="K28" s="11"/>
      <c r="L28" s="11"/>
      <c r="M28" s="11">
        <f>M15/M17*1000</f>
        <v>1497600</v>
      </c>
      <c r="N28" s="11">
        <f>N15/N17*1000</f>
        <v>1074076.923076923</v>
      </c>
      <c r="O28" s="11">
        <f>O15/O17*1000</f>
        <v>1001062.5</v>
      </c>
    </row>
    <row r="29" spans="1:15" ht="13.5" thickBot="1">
      <c r="A29" s="7" t="s">
        <v>17</v>
      </c>
      <c r="B29" s="29" t="e">
        <f>B14/B17*1000</f>
        <v>#DIV/0!</v>
      </c>
      <c r="C29" s="29" t="e">
        <f>C14/C17*1000</f>
        <v>#DIV/0!</v>
      </c>
      <c r="D29" s="30">
        <f>D16/D17*1000</f>
        <v>573715.1898734177</v>
      </c>
      <c r="E29" s="30">
        <f>E16/E17*1000</f>
        <v>574576.6129032258</v>
      </c>
      <c r="F29" s="30">
        <f>F16/F17*1000</f>
        <v>600402.8389623102</v>
      </c>
      <c r="G29" s="30">
        <f>G16/G17*1000</f>
        <v>633526.6503667482</v>
      </c>
      <c r="H29" s="84" t="e">
        <f>H16/H17*1000</f>
        <v>#DIV/0!</v>
      </c>
      <c r="I29" s="71"/>
      <c r="J29" s="98"/>
      <c r="K29" s="30"/>
      <c r="L29" s="30"/>
      <c r="M29" s="30">
        <f>M16/M17*1000</f>
        <v>1343200</v>
      </c>
      <c r="N29" s="30">
        <f>N16/N17*1000</f>
        <v>1062538.4615384615</v>
      </c>
      <c r="O29" s="30">
        <f>O16/O17*1000</f>
        <v>964500</v>
      </c>
    </row>
    <row r="30" spans="1:4" ht="12.75">
      <c r="A30" s="8"/>
      <c r="B30" s="8"/>
      <c r="C30" s="8"/>
      <c r="D30" s="8"/>
    </row>
    <row r="31" ht="12.75">
      <c r="A31" t="s">
        <v>23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4"/>
  <sheetViews>
    <sheetView tabSelected="1" workbookViewId="0" topLeftCell="A18">
      <selection activeCell="Q40" sqref="Q40"/>
    </sheetView>
  </sheetViews>
  <sheetFormatPr defaultColWidth="9.125" defaultRowHeight="12.75"/>
  <cols>
    <col min="1" max="1" width="35.37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hidden="1" customWidth="1"/>
    <col min="7" max="7" width="12.00390625" style="0" hidden="1" customWidth="1"/>
    <col min="8" max="9" width="12.75390625" style="0" hidden="1" customWidth="1"/>
    <col min="10" max="10" width="12.625" style="0" hidden="1" customWidth="1"/>
    <col min="11" max="11" width="13.00390625" style="0" customWidth="1"/>
    <col min="12" max="13" width="13.75390625" style="0" customWidth="1"/>
    <col min="14" max="14" width="12.625" style="0" customWidth="1"/>
    <col min="15" max="15" width="13.75390625" style="0" customWidth="1"/>
    <col min="17" max="17" width="12.125" style="0" bestFit="1" customWidth="1"/>
  </cols>
  <sheetData>
    <row r="4" spans="1:8" ht="12.75">
      <c r="A4" s="1" t="s">
        <v>24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5" ht="13.5" thickBot="1">
      <c r="E7" s="9"/>
      <c r="H7" s="9"/>
      <c r="J7" s="9"/>
      <c r="K7" s="9"/>
      <c r="L7" s="9"/>
      <c r="M7" s="9"/>
      <c r="N7" s="9"/>
      <c r="O7" s="9" t="s">
        <v>9</v>
      </c>
    </row>
    <row r="8" spans="1:15" ht="12.75">
      <c r="A8" s="105" t="s">
        <v>1</v>
      </c>
      <c r="B8" s="24">
        <v>1997</v>
      </c>
      <c r="C8" s="24">
        <v>1998</v>
      </c>
      <c r="D8" s="25">
        <v>2002</v>
      </c>
      <c r="E8" s="25">
        <v>2003</v>
      </c>
      <c r="F8" s="25">
        <v>2004</v>
      </c>
      <c r="G8" s="25">
        <v>2005</v>
      </c>
      <c r="H8" s="74">
        <v>2006</v>
      </c>
      <c r="I8" s="60">
        <v>2007</v>
      </c>
      <c r="J8" s="89">
        <v>2008</v>
      </c>
      <c r="K8" s="25">
        <v>2009</v>
      </c>
      <c r="L8" s="25">
        <v>2010</v>
      </c>
      <c r="M8" s="25">
        <v>2011</v>
      </c>
      <c r="N8" s="25">
        <v>2012</v>
      </c>
      <c r="O8" s="25">
        <v>2013</v>
      </c>
    </row>
    <row r="9" spans="1:15" ht="12.75">
      <c r="A9" s="104"/>
      <c r="B9" s="27"/>
      <c r="C9" s="27"/>
      <c r="D9" s="28"/>
      <c r="E9" s="28"/>
      <c r="F9" s="28"/>
      <c r="G9" s="28"/>
      <c r="H9" s="75"/>
      <c r="I9" s="61"/>
      <c r="J9" s="90"/>
      <c r="K9" s="28"/>
      <c r="L9" s="28"/>
      <c r="M9" s="28"/>
      <c r="N9" s="28"/>
      <c r="O9" s="28"/>
    </row>
    <row r="10" spans="1:15" ht="12.75">
      <c r="A10" s="3" t="s">
        <v>4</v>
      </c>
      <c r="B10" s="10">
        <f>SUM(MF:GFŘ!B10)</f>
        <v>166015000</v>
      </c>
      <c r="C10" s="10">
        <f>SUM(MF:GFŘ!C10)</f>
        <v>171354000</v>
      </c>
      <c r="D10" s="44">
        <f>SUM(MF:ÚZSVM!D10)</f>
        <v>483625015</v>
      </c>
      <c r="E10" s="44">
        <f>SUM(MF:ÚZSVM!E10)</f>
        <v>518229227</v>
      </c>
      <c r="F10" s="44">
        <f>SUM(MF:ÚZSVM!F10)</f>
        <v>556545788</v>
      </c>
      <c r="G10" s="44">
        <f>SUM(MF:ÚZSVM!G10)</f>
        <v>629751469</v>
      </c>
      <c r="H10" s="85">
        <f>SUM(MF:ÚZSVM!H10)</f>
        <v>634829791</v>
      </c>
      <c r="I10" s="67">
        <f>SUM(MF:ÚZSVM!I10)</f>
        <v>721072641</v>
      </c>
      <c r="J10" s="99">
        <f>SUM(MF:ÚZSVM!J10)</f>
        <v>745310508</v>
      </c>
      <c r="K10" s="44">
        <f>SUM(MF:ÚZSVM!K10)</f>
        <v>655857098</v>
      </c>
      <c r="L10" s="44">
        <f>SUM(MF:ÚZSVM!L10)</f>
        <v>688745703</v>
      </c>
      <c r="M10" s="44">
        <f>SUM(MF:KFA!M10)</f>
        <v>698609064</v>
      </c>
      <c r="N10" s="44">
        <f>SUM(MF:KFA!N10)</f>
        <v>728170504</v>
      </c>
      <c r="O10" s="44">
        <f>SUM(MF:KFA!O10)</f>
        <v>750476190</v>
      </c>
    </row>
    <row r="11" spans="1:15" ht="12.75">
      <c r="A11" s="3" t="s">
        <v>7</v>
      </c>
      <c r="B11" s="10">
        <f>SUM(MF:GFŘ!B11)</f>
        <v>83709</v>
      </c>
      <c r="C11" s="10">
        <f>SUM(MF:GFŘ!C11)</f>
        <v>41806</v>
      </c>
      <c r="D11" s="11">
        <f>SUM(MF:ÚZSVM!D11)</f>
        <v>1265126</v>
      </c>
      <c r="E11" s="11">
        <f>SUM(MF:ÚZSVM!E11)</f>
        <v>1381819</v>
      </c>
      <c r="F11" s="11">
        <f>SUM(MF:ÚZSVM!F11)</f>
        <v>1719061</v>
      </c>
      <c r="G11" s="11">
        <f>SUM(MF:ÚZSVM!G11)</f>
        <v>1972300</v>
      </c>
      <c r="H11" s="76">
        <f>SUM(MF:ÚZSVM!H11)</f>
        <v>2548927</v>
      </c>
      <c r="I11" s="62">
        <f>SUM(MF:ÚZSVM!I11)</f>
        <v>2565828</v>
      </c>
      <c r="J11" s="91">
        <f>SUM(MF:ÚZSVM!J11)</f>
        <v>4451686</v>
      </c>
      <c r="K11" s="11">
        <f>SUM(MF:ÚZSVM!K11)+1</f>
        <v>6728779</v>
      </c>
      <c r="L11" s="11">
        <f>SUM(MF:ÚZSVM!L11)+1</f>
        <v>6283643</v>
      </c>
      <c r="M11" s="11">
        <f>SUM(MF:KFA!M11)</f>
        <v>5446033</v>
      </c>
      <c r="N11" s="11">
        <f>SUM(MF:KFA!N11)+1</f>
        <v>4813757</v>
      </c>
      <c r="O11" s="11">
        <f>SUM(MF:KFA!O11)</f>
        <v>4204515</v>
      </c>
    </row>
    <row r="12" spans="1:15" ht="12.75">
      <c r="A12" s="4" t="s">
        <v>5</v>
      </c>
      <c r="B12" s="12">
        <f>SUM(B10:B11)</f>
        <v>166098709</v>
      </c>
      <c r="C12" s="12">
        <f>SUM(C10:C11)</f>
        <v>171395806</v>
      </c>
      <c r="D12" s="13">
        <f>SUM(MF:ÚZSVM!D12)</f>
        <v>484890141</v>
      </c>
      <c r="E12" s="13">
        <f>SUM(MF:ÚZSVM!E12)</f>
        <v>519611046</v>
      </c>
      <c r="F12" s="13">
        <f>SUM(MF:ÚZSVM!F12)</f>
        <v>558264849</v>
      </c>
      <c r="G12" s="13">
        <f>SUM(MF:ÚZSVM!G12)</f>
        <v>631723769</v>
      </c>
      <c r="H12" s="77">
        <f>SUM(MF:ÚZSVM!H12)</f>
        <v>637378718</v>
      </c>
      <c r="I12" s="63">
        <f>SUM(MF:ÚZSVM!I12)</f>
        <v>723638469</v>
      </c>
      <c r="J12" s="92">
        <f>SUM(MF:ÚZSVM!J12)</f>
        <v>749762194</v>
      </c>
      <c r="K12" s="13">
        <f>SUM(MF:ÚZSVM!K12)</f>
        <v>662585876</v>
      </c>
      <c r="L12" s="13">
        <f>SUM(MF:ÚZSVM!L12)</f>
        <v>695029345</v>
      </c>
      <c r="M12" s="13">
        <f>SUM(MF:KFA!M12)</f>
        <v>704055097</v>
      </c>
      <c r="N12" s="13">
        <f>SUM(MF:KFA!N12)</f>
        <v>732984260</v>
      </c>
      <c r="O12" s="13">
        <f>SUM(MF:KFA!O12)</f>
        <v>754680705</v>
      </c>
    </row>
    <row r="13" spans="1:15" ht="12.75" hidden="1">
      <c r="A13" s="55" t="s">
        <v>6</v>
      </c>
      <c r="B13" s="56">
        <f>SUM(MF:GFŘ!B13)</f>
        <v>6143754</v>
      </c>
      <c r="C13" s="56">
        <f>SUM(MF:GFŘ!C13)</f>
        <v>5946520</v>
      </c>
      <c r="D13" s="57">
        <f>SUM(MF:ÚZSVM!D13)</f>
        <v>12539294</v>
      </c>
      <c r="E13" s="57">
        <f>SUM(MF:ÚZSVM!E13)</f>
        <v>15041871</v>
      </c>
      <c r="F13" s="57">
        <f>SUM(MF:ÚZSVM!F13)</f>
        <v>15372046</v>
      </c>
      <c r="G13" s="57">
        <f>SUM(MF:ÚZSVM!G13)</f>
        <v>16084506</v>
      </c>
      <c r="H13" s="78">
        <f>SUM(MF:ÚZSVM!H13)</f>
        <v>16443648</v>
      </c>
      <c r="I13" s="64">
        <f>SUM(MF:ÚZSVM!I13)+1</f>
        <v>17314427</v>
      </c>
      <c r="J13" s="93">
        <f>SUM(MF:ÚZSVM!J13)</f>
        <v>17315365</v>
      </c>
      <c r="K13" s="57">
        <f>SUM(MF:ÚZSVM!K13)</f>
        <v>18847800</v>
      </c>
      <c r="L13" s="57">
        <f>SUM(MF:ÚZSVM!L13)</f>
        <v>16712959</v>
      </c>
      <c r="M13" s="57">
        <f>SUM(MF:KFA!M13)</f>
        <v>16495473</v>
      </c>
      <c r="N13" s="57">
        <f>SUM(MF:KFA!N13)</f>
        <v>16495473</v>
      </c>
      <c r="O13" s="57">
        <f>SUM(MF:KFA!O13)</f>
        <v>16495473</v>
      </c>
    </row>
    <row r="14" spans="1:15" ht="12.75" hidden="1">
      <c r="A14" s="3" t="s">
        <v>14</v>
      </c>
      <c r="B14" s="10">
        <f>SUM(MF:GFŘ!B14)</f>
        <v>4878170</v>
      </c>
      <c r="C14" s="10">
        <f>SUM(MF:GFŘ!C14)</f>
        <v>4841936</v>
      </c>
      <c r="D14" s="11">
        <f>SUM(MF:ÚZSVM!D14)</f>
        <v>11187119</v>
      </c>
      <c r="E14" s="11">
        <f>SUM(MF:ÚZSVM!E14)</f>
        <v>13457043</v>
      </c>
      <c r="F14" s="11">
        <f>SUM(MF:ÚZSVM!F14)</f>
        <v>13655337</v>
      </c>
      <c r="G14" s="11">
        <f>SUM(MF:ÚZSVM!G14)</f>
        <v>14296148</v>
      </c>
      <c r="H14" s="76">
        <f>SUM(MF:ÚZSVM!H14)</f>
        <v>14743409</v>
      </c>
      <c r="I14" s="62">
        <f>SUM(MF:ÚZSVM!I14)+1</f>
        <v>15522445</v>
      </c>
      <c r="J14" s="91">
        <f>SUM(MF:ÚZSVM!J14)+1</f>
        <v>15904443</v>
      </c>
      <c r="K14" s="11">
        <f>SUM(MF:ÚZSVM!K14)</f>
        <v>16343986</v>
      </c>
      <c r="L14" s="11">
        <f>SUM(MF:ÚZSVM!L14)</f>
        <v>15312595</v>
      </c>
      <c r="M14" s="11">
        <f>SUM(MF:KFA!M14)</f>
        <v>14752342</v>
      </c>
      <c r="N14" s="11">
        <f>SUM(MF:KFA!N14)</f>
        <v>14752342</v>
      </c>
      <c r="O14" s="11">
        <f>SUM(MF:KFA!O14)</f>
        <v>14752342</v>
      </c>
    </row>
    <row r="15" spans="1:17" ht="12.75">
      <c r="A15" s="106" t="s">
        <v>25</v>
      </c>
      <c r="B15" s="14"/>
      <c r="C15" s="14"/>
      <c r="D15" s="17">
        <f>SUM(MF:ÚZSVM!D15)</f>
        <v>12447183</v>
      </c>
      <c r="E15" s="54">
        <f>SUM(MF:ÚZSVM!E15)</f>
        <v>14828119</v>
      </c>
      <c r="F15" s="54">
        <f>SUM(MF:ÚZSVM!F15)</f>
        <v>14580075</v>
      </c>
      <c r="G15" s="54">
        <f>SUM(MF:ÚZSVM!G15)</f>
        <v>14808860</v>
      </c>
      <c r="H15" s="79">
        <f>SUM(MF:ÚZSVM!H15)</f>
        <v>15450193</v>
      </c>
      <c r="I15" s="65">
        <f>I13-948157</f>
        <v>16366270</v>
      </c>
      <c r="J15" s="54">
        <f>J13</f>
        <v>17315365</v>
      </c>
      <c r="K15" s="54">
        <f>K13</f>
        <v>18847800</v>
      </c>
      <c r="L15" s="54">
        <f>L13</f>
        <v>16712959</v>
      </c>
      <c r="M15" s="59">
        <f>SUM(MF:KFA!M15)</f>
        <v>16495473</v>
      </c>
      <c r="N15" s="59">
        <f>SUM(MF:KFA!N15)</f>
        <v>18577274</v>
      </c>
      <c r="O15" s="59">
        <f>SUM(MF:KFA!O15)</f>
        <v>18902561</v>
      </c>
      <c r="Q15" s="51"/>
    </row>
    <row r="16" spans="1:15" ht="12.75">
      <c r="A16" s="3" t="s">
        <v>14</v>
      </c>
      <c r="B16" s="14"/>
      <c r="C16" s="14"/>
      <c r="D16" s="15">
        <f>SUM(MF:ÚZSVM!D16)</f>
        <v>11131774</v>
      </c>
      <c r="E16" s="53">
        <f>SUM(MF:ÚZSVM!E16)</f>
        <v>13375477</v>
      </c>
      <c r="F16" s="53">
        <f>SUM(MF:ÚZSVM!F16)</f>
        <v>13135030</v>
      </c>
      <c r="G16" s="53">
        <f>SUM(MF:ÚZSVM!G16)</f>
        <v>13683704</v>
      </c>
      <c r="H16" s="80">
        <f>SUM(MF:ÚZSVM!H16)</f>
        <v>14296439</v>
      </c>
      <c r="I16" s="66">
        <f>SUM(MF:ÚZSVM!I16)+1</f>
        <v>14982857</v>
      </c>
      <c r="J16" s="53">
        <f>SUM(MF:ÚZSVM!J16)+1</f>
        <v>15904443</v>
      </c>
      <c r="K16" s="53">
        <f>SUM(MF:ÚZSVM!K16)</f>
        <v>16343986</v>
      </c>
      <c r="L16" s="53">
        <f>SUM(MF:ÚZSVM!L16)</f>
        <v>15312595</v>
      </c>
      <c r="M16" s="11">
        <f>SUM(MF:KFA!M16)</f>
        <v>14752372</v>
      </c>
      <c r="N16" s="11">
        <f>SUM(MF:KFA!N16)</f>
        <v>16476366</v>
      </c>
      <c r="O16" s="11">
        <f>SUM(MF:KFA!O16)-1</f>
        <v>15001700</v>
      </c>
    </row>
    <row r="17" spans="1:17" ht="13.5" thickBot="1">
      <c r="A17" s="31" t="s">
        <v>3</v>
      </c>
      <c r="B17" s="32">
        <f>SUM(MF:GFŘ!B17)</f>
        <v>15280</v>
      </c>
      <c r="C17" s="32">
        <f>SUM(MF:GFŘ!C17)</f>
        <v>15264</v>
      </c>
      <c r="D17" s="33">
        <f>SUM(MF:ÚZSVM!D17)</f>
        <v>26428</v>
      </c>
      <c r="E17" s="45">
        <f>SUM(MF:ÚZSVM!E17)</f>
        <v>29002</v>
      </c>
      <c r="F17" s="45">
        <f>SUM(MF:ÚZSVM!F17)</f>
        <v>26959</v>
      </c>
      <c r="G17" s="45">
        <f>SUM(MF:ÚZSVM!G17)</f>
        <v>25959</v>
      </c>
      <c r="H17" s="81">
        <f>SUM(MF:ÚZSVM!H17)</f>
        <v>25719</v>
      </c>
      <c r="I17" s="45">
        <f>SUM(MF:ÚZSVM!I17)</f>
        <v>25513</v>
      </c>
      <c r="J17" s="95">
        <f>SUM(MF:ÚZSVM!J17)</f>
        <v>24942</v>
      </c>
      <c r="K17" s="45">
        <f>SUM(MF:ÚZSVM!K17)</f>
        <v>24882</v>
      </c>
      <c r="L17" s="45">
        <f>SUM(MF:ÚZSVM!L17)</f>
        <v>24186</v>
      </c>
      <c r="M17" s="45">
        <f>SUM(MF:KFA!M17)</f>
        <v>23155</v>
      </c>
      <c r="N17" s="45">
        <f>SUM(MF:KFA!N17)</f>
        <v>23054</v>
      </c>
      <c r="O17" s="45">
        <f>SUM(MF:KFA!O17)</f>
        <v>23347</v>
      </c>
      <c r="P17" s="124">
        <f>O17-N17</f>
        <v>293</v>
      </c>
      <c r="Q17" s="51"/>
    </row>
    <row r="18" spans="1:10" ht="12.75">
      <c r="A18" s="34"/>
      <c r="B18" s="35"/>
      <c r="C18" s="35"/>
      <c r="D18" s="35"/>
      <c r="E18" s="8"/>
      <c r="F18" s="8"/>
      <c r="G18" s="8"/>
      <c r="H18" s="8"/>
      <c r="I18" s="8"/>
      <c r="J18" s="8"/>
    </row>
    <row r="19" spans="1:10" ht="12.75">
      <c r="A19" s="46"/>
      <c r="B19" s="47"/>
      <c r="C19" s="47"/>
      <c r="D19" s="47"/>
      <c r="E19" s="48"/>
      <c r="F19" s="48"/>
      <c r="G19" s="48"/>
      <c r="H19" s="42"/>
      <c r="I19" s="42"/>
      <c r="J19" s="42"/>
    </row>
    <row r="20" spans="1:10" ht="13.5" thickBot="1">
      <c r="A20" s="38"/>
      <c r="B20" s="39"/>
      <c r="C20" s="39"/>
      <c r="D20" s="103"/>
      <c r="E20" s="40"/>
      <c r="F20" s="40"/>
      <c r="G20" s="40"/>
      <c r="H20" s="103"/>
      <c r="I20" s="103"/>
      <c r="J20" s="103"/>
    </row>
    <row r="21" spans="1:15" ht="12.75">
      <c r="A21" s="105" t="s">
        <v>10</v>
      </c>
      <c r="B21" s="24">
        <v>1997</v>
      </c>
      <c r="C21" s="24">
        <v>1998</v>
      </c>
      <c r="D21" s="25">
        <v>2002</v>
      </c>
      <c r="E21" s="25">
        <v>2003</v>
      </c>
      <c r="F21" s="25">
        <v>2004</v>
      </c>
      <c r="G21" s="25">
        <v>2005</v>
      </c>
      <c r="H21" s="74">
        <v>2006</v>
      </c>
      <c r="I21" s="60">
        <v>2007</v>
      </c>
      <c r="J21" s="89">
        <v>2008</v>
      </c>
      <c r="K21" s="25">
        <v>2009</v>
      </c>
      <c r="L21" s="25">
        <v>2010</v>
      </c>
      <c r="M21" s="25">
        <v>2011</v>
      </c>
      <c r="N21" s="25">
        <v>2012</v>
      </c>
      <c r="O21" s="25">
        <v>2013</v>
      </c>
    </row>
    <row r="22" spans="1:17" ht="13.5" thickBot="1">
      <c r="A22" s="26"/>
      <c r="B22" s="27"/>
      <c r="C22" s="27"/>
      <c r="D22" s="28"/>
      <c r="E22" s="28"/>
      <c r="F22" s="28"/>
      <c r="G22" s="28"/>
      <c r="H22" s="75"/>
      <c r="I22" s="61"/>
      <c r="J22" s="90"/>
      <c r="K22" s="28"/>
      <c r="L22" s="28"/>
      <c r="M22" s="28"/>
      <c r="N22" s="28"/>
      <c r="O22" s="28"/>
      <c r="Q22" s="166" t="s">
        <v>35</v>
      </c>
    </row>
    <row r="23" spans="1:19" ht="12.75">
      <c r="A23" s="41" t="s">
        <v>21</v>
      </c>
      <c r="B23" s="2"/>
      <c r="C23" s="2"/>
      <c r="D23" s="6"/>
      <c r="E23" s="6"/>
      <c r="F23" s="6"/>
      <c r="G23" s="6"/>
      <c r="H23" s="82"/>
      <c r="I23" s="69"/>
      <c r="J23" s="96"/>
      <c r="K23" s="6"/>
      <c r="L23" s="6"/>
      <c r="M23" s="6"/>
      <c r="N23" s="6"/>
      <c r="O23" s="23">
        <f>O24/N24*100</f>
        <v>101.18821529648704</v>
      </c>
      <c r="Q23">
        <v>2012</v>
      </c>
      <c r="R23">
        <v>2013</v>
      </c>
      <c r="S23" s="9" t="s">
        <v>32</v>
      </c>
    </row>
    <row r="24" spans="1:19" ht="12.75">
      <c r="A24" s="3" t="s">
        <v>8</v>
      </c>
      <c r="B24" s="20">
        <f>B12/B13</f>
        <v>27.035377555807084</v>
      </c>
      <c r="C24" s="20">
        <f>C12/C13</f>
        <v>28.82287556419553</v>
      </c>
      <c r="D24" s="21">
        <f aca="true" t="shared" si="0" ref="D24:M24">D12/D15</f>
        <v>38.95581361662313</v>
      </c>
      <c r="E24" s="21">
        <f t="shared" si="0"/>
        <v>35.042276501827374</v>
      </c>
      <c r="F24" s="21">
        <f t="shared" si="0"/>
        <v>38.289573201783945</v>
      </c>
      <c r="G24" s="21">
        <f t="shared" si="0"/>
        <v>42.658500991973725</v>
      </c>
      <c r="H24" s="83">
        <f t="shared" si="0"/>
        <v>41.253770616328225</v>
      </c>
      <c r="I24" s="70">
        <f t="shared" si="0"/>
        <v>44.21523468695066</v>
      </c>
      <c r="J24" s="97">
        <f t="shared" si="0"/>
        <v>43.300397883613776</v>
      </c>
      <c r="K24" s="21">
        <f t="shared" si="0"/>
        <v>35.154547268116175</v>
      </c>
      <c r="L24" s="21">
        <f t="shared" si="0"/>
        <v>41.58625321823622</v>
      </c>
      <c r="M24" s="21">
        <f t="shared" si="0"/>
        <v>42.68171618964791</v>
      </c>
      <c r="N24" s="167">
        <f>N12/N15</f>
        <v>39.45596431424761</v>
      </c>
      <c r="O24" s="167">
        <f>O12/O15</f>
        <v>39.92478611760597</v>
      </c>
      <c r="P24" s="150"/>
      <c r="Q24" s="125">
        <f>N12/N38</f>
        <v>44.43191366178537</v>
      </c>
      <c r="R24" s="125">
        <f>O12/O38</f>
        <v>45.27253750571995</v>
      </c>
      <c r="S24" s="126">
        <f>R24-Q24</f>
        <v>0.8406238439345799</v>
      </c>
    </row>
    <row r="25" spans="1:18" ht="13.5" thickBot="1">
      <c r="A25" s="5" t="s">
        <v>18</v>
      </c>
      <c r="B25" s="14">
        <f aca="true" t="shared" si="1" ref="B25:M25">B12/B17*1000</f>
        <v>10870334.358638743</v>
      </c>
      <c r="C25" s="14">
        <f t="shared" si="1"/>
        <v>11228760.875262054</v>
      </c>
      <c r="D25" s="15">
        <f t="shared" si="1"/>
        <v>18347591.228999548</v>
      </c>
      <c r="E25" s="15">
        <f t="shared" si="1"/>
        <v>17916386.66298876</v>
      </c>
      <c r="F25" s="15">
        <f t="shared" si="1"/>
        <v>20707921.250788234</v>
      </c>
      <c r="G25" s="15">
        <f t="shared" si="1"/>
        <v>24335443.16036827</v>
      </c>
      <c r="H25" s="80">
        <f t="shared" si="1"/>
        <v>24782406.70321552</v>
      </c>
      <c r="I25" s="66">
        <f t="shared" si="1"/>
        <v>28363519.34308</v>
      </c>
      <c r="J25" s="53">
        <f t="shared" si="1"/>
        <v>30060227.48777163</v>
      </c>
      <c r="K25" s="15">
        <f t="shared" si="1"/>
        <v>26629124.507676233</v>
      </c>
      <c r="L25" s="15">
        <f t="shared" si="1"/>
        <v>28736845.489125937</v>
      </c>
      <c r="M25" s="15">
        <f t="shared" si="1"/>
        <v>30406179.961131502</v>
      </c>
      <c r="N25" s="148">
        <f>N12/N17*1000</f>
        <v>31794233.53864839</v>
      </c>
      <c r="O25" s="149">
        <f>O12/O17*1000</f>
        <v>32324525.849145498</v>
      </c>
      <c r="P25" s="119" t="s">
        <v>33</v>
      </c>
      <c r="Q25" s="147">
        <f>O25/N25*100</f>
        <v>101.66788832903457</v>
      </c>
      <c r="R25" s="111"/>
    </row>
    <row r="26" spans="1:18" ht="12.75">
      <c r="A26" s="5" t="s">
        <v>49</v>
      </c>
      <c r="B26" s="158"/>
      <c r="C26" s="158"/>
      <c r="D26" s="159"/>
      <c r="E26" s="159"/>
      <c r="F26" s="159"/>
      <c r="G26" s="159"/>
      <c r="H26" s="160"/>
      <c r="I26" s="161"/>
      <c r="J26" s="162"/>
      <c r="K26" s="23">
        <f>K25/J25*100</f>
        <v>88.58590480896675</v>
      </c>
      <c r="L26" s="23">
        <f>L25/K25*100</f>
        <v>107.91509679877807</v>
      </c>
      <c r="M26" s="23">
        <f>M25/L25*100</f>
        <v>105.80903868741349</v>
      </c>
      <c r="N26" s="23">
        <f>N25/M25*100</f>
        <v>104.56503769724196</v>
      </c>
      <c r="O26" s="23">
        <f>O25/N25*100</f>
        <v>101.66788832903457</v>
      </c>
      <c r="P26" s="165"/>
      <c r="Q26" s="165"/>
      <c r="R26" s="165"/>
    </row>
    <row r="27" spans="1:18" ht="12.75">
      <c r="A27" s="157"/>
      <c r="B27" s="158"/>
      <c r="C27" s="158"/>
      <c r="D27" s="159"/>
      <c r="E27" s="159"/>
      <c r="F27" s="159"/>
      <c r="G27" s="159"/>
      <c r="H27" s="160"/>
      <c r="I27" s="161"/>
      <c r="J27" s="162"/>
      <c r="K27" s="159"/>
      <c r="L27" s="159"/>
      <c r="M27" s="159"/>
      <c r="N27" s="163"/>
      <c r="O27" s="164"/>
      <c r="P27" s="165"/>
      <c r="Q27" s="165"/>
      <c r="R27" s="165"/>
    </row>
    <row r="28" spans="1:18" ht="13.5" thickBot="1">
      <c r="A28" s="157"/>
      <c r="B28" s="158"/>
      <c r="C28" s="158"/>
      <c r="D28" s="159"/>
      <c r="E28" s="159"/>
      <c r="F28" s="159"/>
      <c r="G28" s="159"/>
      <c r="H28" s="160"/>
      <c r="I28" s="161"/>
      <c r="J28" s="162"/>
      <c r="K28" s="159"/>
      <c r="L28" s="159"/>
      <c r="M28" s="159"/>
      <c r="N28" s="163"/>
      <c r="O28" s="164"/>
      <c r="P28" s="165"/>
      <c r="Q28" s="165"/>
      <c r="R28" s="165"/>
    </row>
    <row r="29" spans="1:18" ht="12.75">
      <c r="A29" s="41" t="s">
        <v>22</v>
      </c>
      <c r="B29" s="22"/>
      <c r="C29" s="22"/>
      <c r="D29" s="23"/>
      <c r="E29" s="23"/>
      <c r="F29" s="23"/>
      <c r="G29" s="23"/>
      <c r="H29" s="86"/>
      <c r="I29" s="72"/>
      <c r="J29" s="100"/>
      <c r="K29" s="23"/>
      <c r="L29" s="23"/>
      <c r="M29" s="23"/>
      <c r="N29" s="23"/>
      <c r="O29" s="113"/>
      <c r="P29" s="119" t="s">
        <v>32</v>
      </c>
      <c r="Q29" s="123" t="s">
        <v>36</v>
      </c>
      <c r="R29" s="123" t="s">
        <v>37</v>
      </c>
    </row>
    <row r="30" spans="1:18" ht="12.75">
      <c r="A30" s="3" t="s">
        <v>15</v>
      </c>
      <c r="B30" s="20">
        <f>B13/B12</f>
        <v>0.03698857165711023</v>
      </c>
      <c r="C30" s="20">
        <f>C13/C12</f>
        <v>0.03469466458239941</v>
      </c>
      <c r="D30" s="21">
        <f aca="true" t="shared" si="2" ref="D30:M30">D15/D12*100</f>
        <v>2.567010946918799</v>
      </c>
      <c r="E30" s="21">
        <f t="shared" si="2"/>
        <v>2.853695877743138</v>
      </c>
      <c r="F30" s="21">
        <f t="shared" si="2"/>
        <v>2.6116770608281663</v>
      </c>
      <c r="G30" s="21">
        <f t="shared" si="2"/>
        <v>2.3441986397697185</v>
      </c>
      <c r="H30" s="83">
        <f t="shared" si="2"/>
        <v>2.4240208472100258</v>
      </c>
      <c r="I30" s="70">
        <f t="shared" si="2"/>
        <v>2.2616638972519856</v>
      </c>
      <c r="J30" s="97">
        <f t="shared" si="2"/>
        <v>2.309447600661497</v>
      </c>
      <c r="K30" s="21">
        <f t="shared" si="2"/>
        <v>2.8445822168415797</v>
      </c>
      <c r="L30" s="21">
        <f t="shared" si="2"/>
        <v>2.4046407709591024</v>
      </c>
      <c r="M30" s="21">
        <f t="shared" si="2"/>
        <v>2.342923596503698</v>
      </c>
      <c r="N30" s="21">
        <f>N15/N12*100</f>
        <v>2.5344710676324755</v>
      </c>
      <c r="O30" s="114">
        <f>O15/O12*100</f>
        <v>2.504709723564484</v>
      </c>
      <c r="P30" s="118">
        <f>O30-N30</f>
        <v>-0.02976134406799158</v>
      </c>
      <c r="Q30" s="117">
        <f>N38/N12*100</f>
        <v>2.250634549778736</v>
      </c>
      <c r="R30" s="117">
        <f>O38/O12*100</f>
        <v>2.2088446000484403</v>
      </c>
    </row>
    <row r="31" spans="1:19" ht="12.75">
      <c r="A31" s="3" t="s">
        <v>16</v>
      </c>
      <c r="B31" s="10">
        <f>B13/B17*1000</f>
        <v>402078.14136125654</v>
      </c>
      <c r="C31" s="10">
        <f>C13/C17*1000</f>
        <v>389578.09224318655</v>
      </c>
      <c r="D31" s="11">
        <f aca="true" t="shared" si="3" ref="D31:I31">D15/D17*1000</f>
        <v>470984.6753443318</v>
      </c>
      <c r="E31" s="11">
        <f t="shared" si="3"/>
        <v>511279.1876422316</v>
      </c>
      <c r="F31" s="11">
        <f t="shared" si="3"/>
        <v>540824.0290811975</v>
      </c>
      <c r="G31" s="11">
        <f t="shared" si="3"/>
        <v>570471.1275472861</v>
      </c>
      <c r="H31" s="76">
        <f t="shared" si="3"/>
        <v>600730.7049263191</v>
      </c>
      <c r="I31" s="62">
        <f t="shared" si="3"/>
        <v>641487.4769725238</v>
      </c>
      <c r="J31" s="91">
        <f aca="true" t="shared" si="4" ref="J31:O31">J15/J17*1000</f>
        <v>694225.2024697298</v>
      </c>
      <c r="K31" s="11">
        <f t="shared" si="4"/>
        <v>757487.340245961</v>
      </c>
      <c r="L31" s="11">
        <f t="shared" si="4"/>
        <v>691017.9029190441</v>
      </c>
      <c r="M31" s="11">
        <f t="shared" si="4"/>
        <v>712393.5651047289</v>
      </c>
      <c r="N31" s="11">
        <f t="shared" si="4"/>
        <v>805815.6502125445</v>
      </c>
      <c r="O31" s="115">
        <f t="shared" si="4"/>
        <v>809635.5420396625</v>
      </c>
      <c r="P31" s="120">
        <f>O31-N31</f>
        <v>3819.891827118001</v>
      </c>
      <c r="Q31" s="112">
        <f>N38/N17*1000</f>
        <v>715572.0048581591</v>
      </c>
      <c r="R31" s="112">
        <f>O38/O17*1000</f>
        <v>713998.5437101127</v>
      </c>
      <c r="S31">
        <f>O31/N31*100</f>
        <v>100.47404041186225</v>
      </c>
    </row>
    <row r="32" spans="1:18" ht="13.5" thickBot="1">
      <c r="A32" s="7" t="s">
        <v>17</v>
      </c>
      <c r="B32" s="29">
        <f>B14/B17*1000</f>
        <v>319251.9633507853</v>
      </c>
      <c r="C32" s="29">
        <f>C14/C17*1000</f>
        <v>317212.7882599581</v>
      </c>
      <c r="D32" s="30">
        <f aca="true" t="shared" si="5" ref="D32:I32">D16/D17*1000</f>
        <v>421211.3667322537</v>
      </c>
      <c r="E32" s="30">
        <f t="shared" si="5"/>
        <v>461191.5385145852</v>
      </c>
      <c r="F32" s="30">
        <f t="shared" si="5"/>
        <v>487222.44890389114</v>
      </c>
      <c r="G32" s="30">
        <f t="shared" si="5"/>
        <v>527127.547286105</v>
      </c>
      <c r="H32" s="84">
        <f t="shared" si="5"/>
        <v>555870.7181461176</v>
      </c>
      <c r="I32" s="71">
        <f t="shared" si="5"/>
        <v>587263.6303061184</v>
      </c>
      <c r="J32" s="98">
        <f aca="true" t="shared" si="6" ref="J32:O32">J16/J17*1000</f>
        <v>637657.0844358914</v>
      </c>
      <c r="K32" s="30">
        <f t="shared" si="6"/>
        <v>656859.818342577</v>
      </c>
      <c r="L32" s="30">
        <f t="shared" si="6"/>
        <v>633118.1261887042</v>
      </c>
      <c r="M32" s="30">
        <f t="shared" si="6"/>
        <v>637113.8846901318</v>
      </c>
      <c r="N32" s="30">
        <f t="shared" si="6"/>
        <v>714685.7812093345</v>
      </c>
      <c r="O32" s="116">
        <f t="shared" si="6"/>
        <v>642553.6471495266</v>
      </c>
      <c r="P32" s="120">
        <f>O32-N32</f>
        <v>-72132.13405980787</v>
      </c>
      <c r="Q32" s="118">
        <f>O32/N32*100</f>
        <v>89.90715417092088</v>
      </c>
      <c r="R32" s="118"/>
    </row>
    <row r="33" spans="1:18" ht="12.75">
      <c r="A33" s="170" t="s">
        <v>50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23">
        <f>K32/J32*100</f>
        <v>103.01145151138303</v>
      </c>
      <c r="L33" s="23">
        <f>L32/K32*100</f>
        <v>96.38557703015248</v>
      </c>
      <c r="M33" s="23">
        <f>M32/L32*100</f>
        <v>100.63112369337482</v>
      </c>
      <c r="N33" s="23">
        <f>N32/M32*100</f>
        <v>112.17551498770597</v>
      </c>
      <c r="O33" s="23">
        <f>O32/N32*100</f>
        <v>89.90715417092088</v>
      </c>
      <c r="P33" s="153">
        <f>O33-N33</f>
        <v>-22.26836081678509</v>
      </c>
      <c r="Q33" s="121"/>
      <c r="R33" s="121"/>
    </row>
    <row r="34" spans="1:18" ht="12.75">
      <c r="A34" s="168" t="s">
        <v>51</v>
      </c>
      <c r="B34" s="42"/>
      <c r="C34" s="42"/>
      <c r="D34" s="42"/>
      <c r="K34" s="169">
        <f>K31/J31*100</f>
        <v>109.11262477236119</v>
      </c>
      <c r="L34" s="169">
        <f>L31/K31*100</f>
        <v>91.22501013609894</v>
      </c>
      <c r="M34" s="169">
        <f>M31/L31*100</f>
        <v>103.09335866630782</v>
      </c>
      <c r="N34" s="169">
        <f>N31/M31*100</f>
        <v>113.11383056837153</v>
      </c>
      <c r="O34" s="169">
        <f>O31/N31*100</f>
        <v>100.47404041186225</v>
      </c>
      <c r="Q34" s="121"/>
      <c r="R34" s="121"/>
    </row>
    <row r="35" spans="1:18" ht="12.75">
      <c r="A35" s="42"/>
      <c r="B35" s="42"/>
      <c r="C35" s="42"/>
      <c r="D35" s="42"/>
      <c r="Q35" s="121"/>
      <c r="R35" s="121"/>
    </row>
    <row r="36" spans="1:18" ht="12.75">
      <c r="A36" s="42"/>
      <c r="B36" s="42"/>
      <c r="C36" s="42"/>
      <c r="D36" s="42"/>
      <c r="Q36" s="121"/>
      <c r="R36" s="121"/>
    </row>
    <row r="37" spans="1:18" ht="12.75">
      <c r="A37" s="50" t="s">
        <v>23</v>
      </c>
      <c r="D37" s="52"/>
      <c r="E37" s="52"/>
      <c r="F37" s="52"/>
      <c r="M37" s="108" t="s">
        <v>27</v>
      </c>
      <c r="N37" s="109">
        <v>2080477</v>
      </c>
      <c r="O37" s="109">
        <v>2232837</v>
      </c>
      <c r="P37" s="110" t="s">
        <v>29</v>
      </c>
      <c r="Q37" s="119" t="s">
        <v>31</v>
      </c>
      <c r="R37" s="119" t="s">
        <v>32</v>
      </c>
    </row>
    <row r="38" spans="5:18" ht="12.75">
      <c r="E38" s="58"/>
      <c r="F38" s="58"/>
      <c r="G38" s="58"/>
      <c r="H38" s="58"/>
      <c r="M38" s="111" t="s">
        <v>28</v>
      </c>
      <c r="N38" s="112">
        <f>N15-N37</f>
        <v>16496797</v>
      </c>
      <c r="O38" s="112">
        <f>O15-O37</f>
        <v>16669724</v>
      </c>
      <c r="P38" s="110" t="s">
        <v>30</v>
      </c>
      <c r="Q38" s="122" t="s">
        <v>33</v>
      </c>
      <c r="R38" s="119" t="s">
        <v>34</v>
      </c>
    </row>
    <row r="39" spans="12:18" ht="12.75">
      <c r="L39" s="131" t="s">
        <v>38</v>
      </c>
      <c r="M39" s="123" t="s">
        <v>26</v>
      </c>
      <c r="N39" s="127">
        <f>N38/N17*1000</f>
        <v>715572.0048581591</v>
      </c>
      <c r="O39" s="127">
        <f>O38/O17*1000</f>
        <v>713998.5437101127</v>
      </c>
      <c r="P39" s="128">
        <f>O39-N39</f>
        <v>-1573.4611480464227</v>
      </c>
      <c r="Q39" s="129">
        <f>O39/N39*100</f>
        <v>99.7801114161309</v>
      </c>
      <c r="R39" s="130">
        <f>100-Q39</f>
        <v>0.21988858386910692</v>
      </c>
    </row>
    <row r="40" spans="11:18" ht="13.5" thickBot="1">
      <c r="K40" s="155" t="s">
        <v>47</v>
      </c>
      <c r="L40" s="151" t="s">
        <v>38</v>
      </c>
      <c r="M40" s="156" t="s">
        <v>46</v>
      </c>
      <c r="N40" s="152">
        <f>((N16-N37)/N17)*1000</f>
        <v>624442.1358549492</v>
      </c>
      <c r="O40" s="116">
        <v>642553.6471495266</v>
      </c>
      <c r="P40" s="51">
        <f>O40-N40</f>
        <v>18111.511294577387</v>
      </c>
      <c r="Q40" s="153">
        <f>O40/N40*100</f>
        <v>102.90043068118395</v>
      </c>
      <c r="R40" s="154" t="s">
        <v>48</v>
      </c>
    </row>
    <row r="41" spans="11:16" ht="13.5" thickBot="1">
      <c r="K41" s="132" t="s">
        <v>45</v>
      </c>
      <c r="L41" s="133" t="s">
        <v>39</v>
      </c>
      <c r="M41" s="134"/>
      <c r="N41" s="135" t="s">
        <v>9</v>
      </c>
      <c r="P41">
        <f>O31/N31*100</f>
        <v>100.47404041186225</v>
      </c>
    </row>
    <row r="42" spans="11:14" ht="12.75">
      <c r="K42" s="136" t="s">
        <v>40</v>
      </c>
      <c r="L42" s="137" t="s">
        <v>42</v>
      </c>
      <c r="M42" s="137"/>
      <c r="N42" s="138">
        <v>2080477</v>
      </c>
    </row>
    <row r="43" spans="11:14" ht="12.75">
      <c r="K43" s="139" t="s">
        <v>41</v>
      </c>
      <c r="L43" s="140" t="s">
        <v>43</v>
      </c>
      <c r="M43" s="141"/>
      <c r="N43" s="142">
        <v>2232837</v>
      </c>
    </row>
    <row r="44" spans="11:14" ht="13.5" thickBot="1">
      <c r="K44" s="143"/>
      <c r="L44" s="144" t="s">
        <v>44</v>
      </c>
      <c r="M44" s="145"/>
      <c r="N44" s="146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