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6"/>
  </bookViews>
  <sheets>
    <sheet name="MF" sheetId="1" r:id="rId1"/>
    <sheet name="R" sheetId="2" r:id="rId2"/>
    <sheet name="MFC" sheetId="3" r:id="rId3"/>
    <sheet name="ÚFO" sheetId="4" r:id="rId4"/>
    <sheet name="GŘC" sheetId="5" r:id="rId5"/>
    <sheet name="ÚZSVM" sheetId="6" r:id="rId6"/>
    <sheet name="KAPITOLA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<sst xmlns="http://schemas.openxmlformats.org/spreadsheetml/2006/main" count="483" uniqueCount="73">
  <si>
    <t>Ministerstvo financí bez rezervy ÚFO</t>
  </si>
  <si>
    <t>Ukazatel</t>
  </si>
  <si>
    <t>skutečnost</t>
  </si>
  <si>
    <t>%plnění</t>
  </si>
  <si>
    <t>schválený</t>
  </si>
  <si>
    <t>sloupec</t>
  </si>
  <si>
    <t>Příjmy celkem</t>
  </si>
  <si>
    <t>v tom:</t>
  </si>
  <si>
    <t xml:space="preserve"> - pojistné na sociální  zabezpečení</t>
  </si>
  <si>
    <t xml:space="preserve">   z toho: pojistné na důchod. pojištění</t>
  </si>
  <si>
    <t xml:space="preserve"> - příjmy z vlastní činnosti </t>
  </si>
  <si>
    <t xml:space="preserve"> - příjmy z pronájmu majetku</t>
  </si>
  <si>
    <t xml:space="preserve"> - příjmy z úroků</t>
  </si>
  <si>
    <t xml:space="preserve"> - přijaté sankční platby a vratky transf.</t>
  </si>
  <si>
    <t xml:space="preserve"> - příjmy z prodeje neinv. majetku</t>
  </si>
  <si>
    <t xml:space="preserve"> - ostatní nedaňové příjmy</t>
  </si>
  <si>
    <t xml:space="preserve"> - příjmy z prodeje invest. majetku</t>
  </si>
  <si>
    <t xml:space="preserve"> - ostatní investiční příjmy</t>
  </si>
  <si>
    <t xml:space="preserve"> - převod z vlastních fondů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</si>
  <si>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</si>
  <si>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</si>
  <si>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</si>
  <si>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</si>
  <si>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</si>
  <si>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</si>
  <si>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</si>
  <si>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</si>
  <si>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</si>
  <si>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</si>
  <si>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</si>
  <si>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</si>
  <si>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</si>
  <si>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</si>
  <si>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</si>
  <si>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</si>
  <si>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</si>
  <si>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</si>
  <si>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</si>
  <si>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</si>
  <si>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</si>
  <si>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</si>
  <si>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</si>
  <si>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</si>
  <si>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</si>
  <si>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</si>
  <si>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průměrný měsíční plat v Kč</t>
  </si>
  <si>
    <t>ostatní běžné výdaje  na 1 zam. v Kč</t>
  </si>
  <si>
    <t>Ministerstvo financí - rezerva ÚFO § 6142</t>
  </si>
  <si>
    <t>Územní finanční orgány</t>
  </si>
  <si>
    <t xml:space="preserve">                 ostatní platby celkem</t>
  </si>
  <si>
    <t xml:space="preserve">   - sociální dávky</t>
  </si>
  <si>
    <t>Generální ředitelství cel</t>
  </si>
  <si>
    <t>Úřad pro zastupování státu ve věcech majetkových</t>
  </si>
  <si>
    <t xml:space="preserve"> </t>
  </si>
  <si>
    <t>Kapitola 312 - MF ČR   c e l k e m</t>
  </si>
  <si>
    <r>
      <t xml:space="preserve">Ministerstvo financí  </t>
    </r>
    <r>
      <rPr>
        <u val="single"/>
        <sz val="10"/>
        <rFont val="Times New Roman CE"/>
        <family val="1"/>
      </rPr>
      <t>(MF + rezerva ÚFO)</t>
    </r>
  </si>
  <si>
    <t xml:space="preserve"> - odvody přebytků org. s přímým vztahem</t>
  </si>
  <si>
    <t xml:space="preserve"> - splátky půjčených prostředků</t>
  </si>
  <si>
    <t xml:space="preserve">  - příjmy z akcií a majetkových podílů</t>
  </si>
  <si>
    <t xml:space="preserve"> - neinvestiční přijaté transfery ze zahraničí</t>
  </si>
  <si>
    <t xml:space="preserve"> - správní poplatky</t>
  </si>
  <si>
    <t xml:space="preserve"> - investiční přijaté transfery</t>
  </si>
  <si>
    <t xml:space="preserve"> - poplatek za využív. přírod. minerál. vody</t>
  </si>
  <si>
    <t xml:space="preserve">rozpočet  k  31. 12. </t>
  </si>
  <si>
    <t>upravený</t>
  </si>
  <si>
    <t xml:space="preserve"> 5 : 3</t>
  </si>
  <si>
    <t>k  31. 12.</t>
  </si>
  <si>
    <t xml:space="preserve"> 5 : 4</t>
  </si>
  <si>
    <t>celkový</t>
  </si>
  <si>
    <t>celk. r.</t>
  </si>
  <si>
    <t>uprav. r.</t>
  </si>
  <si>
    <t>Plnění vybraných ukazatelů státního rozpočtu k  31. 12. 2010 dle finančních výkazů Fin RO 2- 04 U (v tis. Kč)</t>
  </si>
  <si>
    <t xml:space="preserve"> - neinv. převody z Národního fondu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</si>
</sst>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;[Red]\-#,##0;&quot;  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0"/>
      <name val="Times New Roman CE"/>
      <family val="1"/>
    </font>
    <font>
      <sz val="9"/>
      <name val="Times New Roman CE"/>
      <family val="1"/>
    </font>
    <font>
      <sz val="10"/>
      <color indexed="12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dotted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"/>
    </xf>
    <xf numFmtId="169" fontId="4" fillId="0" borderId="7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3" fontId="4" fillId="0" borderId="7" xfId="0" applyNumberFormat="1" applyFont="1" applyBorder="1" applyAlignment="1" applyProtection="1">
      <alignment/>
      <protection locked="0"/>
    </xf>
    <xf numFmtId="4" fontId="5" fillId="0" borderId="16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0" fontId="9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5" fillId="0" borderId="5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169" fontId="5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5" fillId="0" borderId="36" xfId="0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38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4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">
      <selection activeCell="L15" sqref="L15"/>
    </sheetView>
  </sheetViews>
  <sheetFormatPr defaultColWidth="9.125" defaultRowHeight="12.75"/>
  <cols>
    <col min="1" max="1" width="33.125" style="2" customWidth="1"/>
    <col min="2" max="2" width="12.75390625" style="34" hidden="1" customWidth="1"/>
    <col min="3" max="4" width="11.125" style="2" customWidth="1"/>
    <col min="5" max="5" width="11.875" style="2" customWidth="1"/>
    <col min="6" max="6" width="11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0</v>
      </c>
      <c r="B1" s="33"/>
    </row>
    <row r="2" ht="12.75">
      <c r="A2" s="2" t="s">
        <v>71</v>
      </c>
    </row>
    <row r="3" spans="6:8" ht="13.5" thickBot="1">
      <c r="F3" s="3"/>
      <c r="H3" s="24"/>
    </row>
    <row r="4" spans="1:8" ht="12.75">
      <c r="A4" s="4"/>
      <c r="B4" s="36">
        <v>2008</v>
      </c>
      <c r="C4" s="152">
        <v>2010</v>
      </c>
      <c r="D4" s="153"/>
      <c r="E4" s="153"/>
      <c r="F4" s="153"/>
      <c r="G4" s="153"/>
      <c r="H4" s="154"/>
    </row>
    <row r="5" spans="1:8" ht="12.75">
      <c r="A5" s="5" t="s">
        <v>1</v>
      </c>
      <c r="B5" s="35" t="s">
        <v>2</v>
      </c>
      <c r="C5" s="97" t="s">
        <v>63</v>
      </c>
      <c r="D5" s="85"/>
      <c r="E5" s="27"/>
      <c r="F5" s="25" t="s">
        <v>2</v>
      </c>
      <c r="G5" s="25" t="s">
        <v>3</v>
      </c>
      <c r="H5" s="98" t="s">
        <v>3</v>
      </c>
    </row>
    <row r="6" spans="1:8" ht="13.5" thickBot="1">
      <c r="A6" s="7"/>
      <c r="B6" s="28" t="s">
        <v>66</v>
      </c>
      <c r="C6" s="99" t="s">
        <v>4</v>
      </c>
      <c r="D6" s="26" t="s">
        <v>64</v>
      </c>
      <c r="E6" s="96" t="s">
        <v>68</v>
      </c>
      <c r="F6" s="28" t="s">
        <v>66</v>
      </c>
      <c r="G6" s="26" t="s">
        <v>70</v>
      </c>
      <c r="H6" s="100" t="s">
        <v>69</v>
      </c>
    </row>
    <row r="7" spans="1:8" ht="13.5" thickBot="1">
      <c r="A7" s="7" t="s">
        <v>5</v>
      </c>
      <c r="B7" s="28">
        <v>1</v>
      </c>
      <c r="C7" s="99">
        <v>2</v>
      </c>
      <c r="D7" s="8">
        <v>3</v>
      </c>
      <c r="E7" s="8">
        <v>4</v>
      </c>
      <c r="F7" s="8">
        <v>5</v>
      </c>
      <c r="G7" s="28" t="s">
        <v>65</v>
      </c>
      <c r="H7" s="19" t="s">
        <v>67</v>
      </c>
    </row>
    <row r="8" spans="1:8" ht="12.75">
      <c r="A8" s="9" t="s">
        <v>6</v>
      </c>
      <c r="B8" s="10">
        <f>SUM(B10:B28)</f>
        <v>2456412</v>
      </c>
      <c r="C8" s="101">
        <f>SUM(C10:C28)</f>
        <v>944252</v>
      </c>
      <c r="D8" s="10">
        <f>SUM(D10:D28)</f>
        <v>916375</v>
      </c>
      <c r="E8" s="10">
        <f>SUM(E10:E28)</f>
        <v>928767</v>
      </c>
      <c r="F8" s="10">
        <f>SUM(F10:F28)</f>
        <v>1400126</v>
      </c>
      <c r="G8" s="143">
        <f>F8/D8*100</f>
        <v>152.78963306506617</v>
      </c>
      <c r="H8" s="144">
        <f>F8/E8*100</f>
        <v>150.75104950972633</v>
      </c>
    </row>
    <row r="9" spans="1:8" ht="12.75">
      <c r="A9" s="11" t="s">
        <v>7</v>
      </c>
      <c r="B9" s="12"/>
      <c r="C9" s="47"/>
      <c r="D9" s="12"/>
      <c r="E9" s="12"/>
      <c r="F9" s="12"/>
      <c r="G9" s="103"/>
      <c r="H9" s="145"/>
    </row>
    <row r="10" spans="1:8" ht="12.75">
      <c r="A10" s="11" t="s">
        <v>60</v>
      </c>
      <c r="B10" s="12">
        <v>0</v>
      </c>
      <c r="C10" s="12">
        <v>165505</v>
      </c>
      <c r="D10" s="12">
        <v>165505</v>
      </c>
      <c r="E10" s="12">
        <v>165505</v>
      </c>
      <c r="F10" s="12">
        <f>174219+1</f>
        <v>174220</v>
      </c>
      <c r="G10" s="103">
        <f aca="true" t="shared" si="0" ref="G10:G26">F10/D10*100</f>
        <v>105.26570194253951</v>
      </c>
      <c r="H10" s="94">
        <f aca="true" t="shared" si="1" ref="H10:H28">F10/E10*100</f>
        <v>105.26570194253951</v>
      </c>
    </row>
    <row r="11" spans="1:8" ht="12.75">
      <c r="A11" s="11" t="s">
        <v>8</v>
      </c>
      <c r="B11" s="12"/>
      <c r="C11" s="12"/>
      <c r="D11" s="12"/>
      <c r="E11" s="12">
        <v>0</v>
      </c>
      <c r="F11" s="12"/>
      <c r="G11" s="103"/>
      <c r="H11" s="94"/>
    </row>
    <row r="12" spans="1:8" ht="12.75">
      <c r="A12" s="11" t="s">
        <v>9</v>
      </c>
      <c r="B12" s="12"/>
      <c r="C12" s="12"/>
      <c r="D12" s="12"/>
      <c r="E12" s="12">
        <v>0</v>
      </c>
      <c r="F12" s="12"/>
      <c r="G12" s="103"/>
      <c r="H12" s="41"/>
    </row>
    <row r="13" spans="1:9" ht="12.75">
      <c r="A13" s="11" t="s">
        <v>10</v>
      </c>
      <c r="B13" s="12">
        <v>7966</v>
      </c>
      <c r="C13" s="12">
        <v>7579</v>
      </c>
      <c r="D13" s="12">
        <v>7579</v>
      </c>
      <c r="E13" s="12">
        <v>7579</v>
      </c>
      <c r="F13" s="12">
        <f>6619+1</f>
        <v>6620</v>
      </c>
      <c r="G13" s="103">
        <f t="shared" si="0"/>
        <v>87.34661564850245</v>
      </c>
      <c r="H13" s="41">
        <f t="shared" si="1"/>
        <v>87.34661564850245</v>
      </c>
      <c r="I13" s="34"/>
    </row>
    <row r="14" spans="1:8" ht="12.75">
      <c r="A14" s="43" t="s">
        <v>56</v>
      </c>
      <c r="B14" s="12"/>
      <c r="C14" s="12"/>
      <c r="D14" s="12"/>
      <c r="E14" s="12">
        <v>0</v>
      </c>
      <c r="F14" s="12">
        <v>1126</v>
      </c>
      <c r="G14" s="103"/>
      <c r="H14" s="41"/>
    </row>
    <row r="15" spans="1:8" ht="12.75">
      <c r="A15" s="11" t="s">
        <v>11</v>
      </c>
      <c r="B15" s="12">
        <v>19964</v>
      </c>
      <c r="C15" s="12">
        <v>15816</v>
      </c>
      <c r="D15" s="12">
        <v>15816</v>
      </c>
      <c r="E15" s="12">
        <v>15816</v>
      </c>
      <c r="F15" s="12">
        <f>18422+1-1</f>
        <v>18422</v>
      </c>
      <c r="G15" s="103">
        <f t="shared" si="0"/>
        <v>116.47698533131006</v>
      </c>
      <c r="H15" s="41">
        <f t="shared" si="1"/>
        <v>116.47698533131006</v>
      </c>
    </row>
    <row r="16" spans="1:8" ht="12.75">
      <c r="A16" s="11" t="s">
        <v>12</v>
      </c>
      <c r="B16" s="12">
        <v>135814</v>
      </c>
      <c r="C16" s="12">
        <v>54300</v>
      </c>
      <c r="D16" s="12">
        <v>54300</v>
      </c>
      <c r="E16" s="12">
        <v>54300</v>
      </c>
      <c r="F16" s="12">
        <v>70710</v>
      </c>
      <c r="G16" s="103">
        <f t="shared" si="0"/>
        <v>130.22099447513813</v>
      </c>
      <c r="H16" s="41">
        <f t="shared" si="1"/>
        <v>130.22099447513813</v>
      </c>
    </row>
    <row r="17" spans="1:8" ht="12.75">
      <c r="A17" s="11" t="s">
        <v>13</v>
      </c>
      <c r="B17" s="12">
        <v>15830</v>
      </c>
      <c r="C17" s="12">
        <v>6882</v>
      </c>
      <c r="D17" s="12">
        <v>6882</v>
      </c>
      <c r="E17" s="12">
        <v>6882</v>
      </c>
      <c r="F17" s="12">
        <f>5549+1</f>
        <v>5550</v>
      </c>
      <c r="G17" s="103">
        <f t="shared" si="0"/>
        <v>80.64516129032258</v>
      </c>
      <c r="H17" s="41">
        <f t="shared" si="1"/>
        <v>80.64516129032258</v>
      </c>
    </row>
    <row r="18" spans="1:8" ht="12.75">
      <c r="A18" s="11" t="s">
        <v>14</v>
      </c>
      <c r="B18" s="12">
        <v>4</v>
      </c>
      <c r="C18" s="12"/>
      <c r="D18" s="12"/>
      <c r="E18" s="12">
        <v>0</v>
      </c>
      <c r="F18" s="12"/>
      <c r="G18" s="103"/>
      <c r="H18" s="41"/>
    </row>
    <row r="19" spans="1:8" ht="12.75">
      <c r="A19" s="11" t="s">
        <v>15</v>
      </c>
      <c r="B19" s="12">
        <v>210109</v>
      </c>
      <c r="C19" s="12">
        <v>540</v>
      </c>
      <c r="D19" s="12">
        <v>540</v>
      </c>
      <c r="E19" s="12">
        <v>1079</v>
      </c>
      <c r="F19" s="12">
        <v>5675</v>
      </c>
      <c r="G19" s="103">
        <f t="shared" si="0"/>
        <v>1050.9259259259259</v>
      </c>
      <c r="H19" s="41">
        <f t="shared" si="1"/>
        <v>525.9499536607971</v>
      </c>
    </row>
    <row r="20" spans="1:8" ht="12.75">
      <c r="A20" s="11" t="s">
        <v>62</v>
      </c>
      <c r="B20" s="12"/>
      <c r="C20" s="12"/>
      <c r="D20" s="12"/>
      <c r="E20" s="12">
        <v>0</v>
      </c>
      <c r="F20" s="12"/>
      <c r="G20" s="103"/>
      <c r="H20" s="41"/>
    </row>
    <row r="21" spans="1:8" ht="12.75">
      <c r="A21" s="44" t="s">
        <v>57</v>
      </c>
      <c r="B21" s="12">
        <v>1300778</v>
      </c>
      <c r="C21" s="12">
        <v>401850</v>
      </c>
      <c r="D21" s="12">
        <v>401850</v>
      </c>
      <c r="E21" s="12">
        <v>401850</v>
      </c>
      <c r="F21" s="12">
        <f>758756+1</f>
        <v>758757</v>
      </c>
      <c r="G21" s="103">
        <f t="shared" si="0"/>
        <v>188.815976110489</v>
      </c>
      <c r="H21" s="41">
        <f t="shared" si="1"/>
        <v>188.815976110489</v>
      </c>
    </row>
    <row r="22" spans="1:8" ht="12.75">
      <c r="A22" s="11" t="s">
        <v>16</v>
      </c>
      <c r="B22" s="12">
        <v>119182</v>
      </c>
      <c r="C22" s="12">
        <v>6700</v>
      </c>
      <c r="D22" s="12">
        <v>6700</v>
      </c>
      <c r="E22" s="12">
        <v>6700</v>
      </c>
      <c r="F22" s="12">
        <v>247682</v>
      </c>
      <c r="G22" s="103"/>
      <c r="H22" s="41"/>
    </row>
    <row r="23" spans="1:8" ht="12.75">
      <c r="A23" s="44" t="s">
        <v>58</v>
      </c>
      <c r="B23" s="12"/>
      <c r="C23" s="12"/>
      <c r="D23" s="12"/>
      <c r="E23" s="12">
        <v>0</v>
      </c>
      <c r="F23" s="12"/>
      <c r="G23" s="103"/>
      <c r="H23" s="41"/>
    </row>
    <row r="24" spans="1:8" ht="12.75" customHeight="1">
      <c r="A24" s="11" t="s">
        <v>17</v>
      </c>
      <c r="B24" s="12"/>
      <c r="C24" s="12"/>
      <c r="D24" s="12"/>
      <c r="E24" s="12">
        <v>0</v>
      </c>
      <c r="F24" s="12"/>
      <c r="G24" s="103"/>
      <c r="H24" s="41"/>
    </row>
    <row r="25" spans="1:8" ht="12.75" customHeight="1">
      <c r="A25" s="11" t="s">
        <v>72</v>
      </c>
      <c r="B25" s="12"/>
      <c r="C25" s="65">
        <v>119111</v>
      </c>
      <c r="D25" s="65">
        <v>91234</v>
      </c>
      <c r="E25" s="12">
        <v>91234</v>
      </c>
      <c r="F25" s="12">
        <v>78151</v>
      </c>
      <c r="G25" s="103">
        <f>F25/D25*100</f>
        <v>85.65995133393253</v>
      </c>
      <c r="H25" s="41">
        <f>F25/E25*100</f>
        <v>85.65995133393253</v>
      </c>
    </row>
    <row r="26" spans="1:8" ht="12.75" customHeight="1">
      <c r="A26" s="11" t="s">
        <v>59</v>
      </c>
      <c r="B26" s="12">
        <v>6936</v>
      </c>
      <c r="C26" s="65">
        <v>94229</v>
      </c>
      <c r="D26" s="65">
        <v>94229</v>
      </c>
      <c r="E26" s="12">
        <v>94229</v>
      </c>
      <c r="F26" s="12">
        <v>20461</v>
      </c>
      <c r="G26" s="103">
        <f t="shared" si="0"/>
        <v>21.71412197943308</v>
      </c>
      <c r="H26" s="41">
        <f t="shared" si="1"/>
        <v>21.71412197943308</v>
      </c>
    </row>
    <row r="27" spans="1:8" ht="12.75" customHeight="1">
      <c r="A27" s="64" t="s">
        <v>61</v>
      </c>
      <c r="B27" s="65"/>
      <c r="C27" s="65">
        <v>71740</v>
      </c>
      <c r="D27" s="65">
        <v>71740</v>
      </c>
      <c r="E27" s="12">
        <v>71740</v>
      </c>
      <c r="F27" s="65">
        <f>898+1</f>
        <v>899</v>
      </c>
      <c r="G27" s="104"/>
      <c r="H27" s="66">
        <f t="shared" si="1"/>
        <v>1.2531363256202954</v>
      </c>
    </row>
    <row r="28" spans="1:8" ht="13.5" thickBot="1">
      <c r="A28" s="7" t="s">
        <v>18</v>
      </c>
      <c r="B28" s="13">
        <v>639829</v>
      </c>
      <c r="C28" s="13"/>
      <c r="D28" s="13"/>
      <c r="E28" s="13">
        <v>11853</v>
      </c>
      <c r="F28" s="13">
        <f>1600+10253</f>
        <v>11853</v>
      </c>
      <c r="G28" s="105"/>
      <c r="H28" s="60">
        <f t="shared" si="1"/>
        <v>100</v>
      </c>
    </row>
    <row r="29" spans="1:8" ht="12.75">
      <c r="A29" s="5"/>
      <c r="B29" s="14"/>
      <c r="C29" s="14"/>
      <c r="D29" s="14"/>
      <c r="E29" s="14"/>
      <c r="F29" s="14"/>
      <c r="G29" s="31"/>
      <c r="H29" s="42"/>
    </row>
    <row r="30" spans="1:8" ht="12.75">
      <c r="A30" s="9" t="s">
        <v>19</v>
      </c>
      <c r="B30" s="10">
        <f>B32+B38</f>
        <v>2911332</v>
      </c>
      <c r="C30" s="10">
        <f>C32+C38</f>
        <v>3383462</v>
      </c>
      <c r="D30" s="10">
        <f>D32+D38</f>
        <v>3878230</v>
      </c>
      <c r="E30" s="10">
        <f>E32+E38</f>
        <v>4130184.98907</v>
      </c>
      <c r="F30" s="10">
        <f>F32+F38</f>
        <v>3322409</v>
      </c>
      <c r="G30" s="111">
        <f>F30/D30*100</f>
        <v>85.66817852473937</v>
      </c>
      <c r="H30" s="112">
        <f>F30/E30*100</f>
        <v>80.4421353714743</v>
      </c>
    </row>
    <row r="31" spans="1:8" ht="12.75">
      <c r="A31" s="11" t="s">
        <v>20</v>
      </c>
      <c r="B31" s="12"/>
      <c r="C31" s="12"/>
      <c r="D31" s="12"/>
      <c r="E31" s="12"/>
      <c r="F31" s="12"/>
      <c r="G31" s="113"/>
      <c r="H31" s="114"/>
    </row>
    <row r="32" spans="1:8" ht="12.75">
      <c r="A32" s="9" t="s">
        <v>21</v>
      </c>
      <c r="B32" s="10">
        <f>B34+B35+B36</f>
        <v>557396</v>
      </c>
      <c r="C32" s="40">
        <f>C34+C35+C36</f>
        <v>1153350</v>
      </c>
      <c r="D32" s="40">
        <f>D34+D35+D36</f>
        <v>1269403</v>
      </c>
      <c r="E32" s="40">
        <f>E34+E35+E36</f>
        <v>1370046.33861</v>
      </c>
      <c r="F32" s="40">
        <f>F34+F35+F36</f>
        <v>918755</v>
      </c>
      <c r="G32" s="111">
        <f>F32/D32*100</f>
        <v>72.3769362448332</v>
      </c>
      <c r="H32" s="112">
        <f>F32/E32*100</f>
        <v>67.06014053014702</v>
      </c>
    </row>
    <row r="33" spans="1:8" ht="12.75">
      <c r="A33" s="11" t="s">
        <v>22</v>
      </c>
      <c r="B33" s="12"/>
      <c r="C33" s="12"/>
      <c r="D33" s="12"/>
      <c r="E33" s="12"/>
      <c r="F33" s="12"/>
      <c r="G33" s="113"/>
      <c r="H33" s="114"/>
    </row>
    <row r="34" spans="1:8" ht="12.75">
      <c r="A34" s="11" t="s">
        <v>23</v>
      </c>
      <c r="B34" s="12">
        <v>416405</v>
      </c>
      <c r="C34" s="12">
        <v>1002389</v>
      </c>
      <c r="D34" s="12">
        <v>1135184</v>
      </c>
      <c r="E34" s="12">
        <v>1187660.94861</v>
      </c>
      <c r="F34" s="12">
        <v>772047</v>
      </c>
      <c r="G34" s="113">
        <f>F34/D34*100</f>
        <v>68.0107365854346</v>
      </c>
      <c r="H34" s="114">
        <f>F34/E34*100</f>
        <v>65.00567362289539</v>
      </c>
    </row>
    <row r="35" spans="1:8" ht="12.75">
      <c r="A35" s="11" t="s">
        <v>24</v>
      </c>
      <c r="B35" s="12">
        <v>140991</v>
      </c>
      <c r="C35" s="12">
        <f>176319-25358</f>
        <v>150961</v>
      </c>
      <c r="D35" s="12">
        <f>100+134119</f>
        <v>134219</v>
      </c>
      <c r="E35" s="12">
        <v>182385.39</v>
      </c>
      <c r="F35" s="12">
        <v>146708</v>
      </c>
      <c r="G35" s="113">
        <f>F35/D35*100</f>
        <v>109.30494192327464</v>
      </c>
      <c r="H35" s="114">
        <f>F35/E35*100</f>
        <v>80.43846055871032</v>
      </c>
    </row>
    <row r="36" spans="1:8" ht="12.75">
      <c r="A36" s="15" t="s">
        <v>25</v>
      </c>
      <c r="B36" s="16">
        <v>0</v>
      </c>
      <c r="C36" s="16">
        <v>0</v>
      </c>
      <c r="D36" s="16"/>
      <c r="E36" s="16"/>
      <c r="F36" s="16"/>
      <c r="G36" s="115"/>
      <c r="H36" s="116"/>
    </row>
    <row r="37" spans="1:8" ht="12.75">
      <c r="A37" s="5"/>
      <c r="B37" s="14"/>
      <c r="C37" s="14"/>
      <c r="D37" s="14"/>
      <c r="E37" s="14"/>
      <c r="F37" s="14"/>
      <c r="G37" s="117"/>
      <c r="H37" s="118"/>
    </row>
    <row r="38" spans="1:8" ht="12.75">
      <c r="A38" s="9" t="s">
        <v>26</v>
      </c>
      <c r="B38" s="10">
        <f>B40+B43+B44+B45+B46</f>
        <v>2353936</v>
      </c>
      <c r="C38" s="10">
        <f>C40+C43+C44+C45+C46</f>
        <v>2230112</v>
      </c>
      <c r="D38" s="10">
        <f>D40+D43+D44+D45+D46</f>
        <v>2608827</v>
      </c>
      <c r="E38" s="10">
        <f>E40+E43+E44+E45+E46</f>
        <v>2760138.65046</v>
      </c>
      <c r="F38" s="10">
        <f>F40+F43+F44+F45+F46</f>
        <v>2403654</v>
      </c>
      <c r="G38" s="111">
        <f>F38/D38*100</f>
        <v>92.1354309810501</v>
      </c>
      <c r="H38" s="112">
        <f>F38/E38*100</f>
        <v>87.0845382930097</v>
      </c>
    </row>
    <row r="39" spans="1:8" ht="12.75">
      <c r="A39" s="11" t="s">
        <v>22</v>
      </c>
      <c r="B39" s="12"/>
      <c r="C39" s="12"/>
      <c r="D39" s="12"/>
      <c r="E39" s="12"/>
      <c r="F39" s="12"/>
      <c r="G39" s="113"/>
      <c r="H39" s="114"/>
    </row>
    <row r="40" spans="1:8" ht="12.75">
      <c r="A40" s="17" t="s">
        <v>27</v>
      </c>
      <c r="B40" s="18">
        <f>B41+B42</f>
        <v>649002</v>
      </c>
      <c r="C40" s="18">
        <f>C41+C42</f>
        <v>662911</v>
      </c>
      <c r="D40" s="18">
        <f>D41+D42</f>
        <v>669559</v>
      </c>
      <c r="E40" s="18">
        <f>E41+E42</f>
        <v>688757</v>
      </c>
      <c r="F40" s="18">
        <f>F41+F42</f>
        <v>674453</v>
      </c>
      <c r="G40" s="119">
        <f>F40/D40*100</f>
        <v>100.73092886511867</v>
      </c>
      <c r="H40" s="120">
        <f>F40/E40*100</f>
        <v>97.92321529944523</v>
      </c>
    </row>
    <row r="41" spans="1:8" ht="12.75">
      <c r="A41" s="11" t="s">
        <v>28</v>
      </c>
      <c r="B41" s="12">
        <v>630127</v>
      </c>
      <c r="C41" s="12">
        <v>644183</v>
      </c>
      <c r="D41" s="12">
        <v>641890</v>
      </c>
      <c r="E41" s="12">
        <v>660920</v>
      </c>
      <c r="F41" s="12">
        <v>648681</v>
      </c>
      <c r="G41" s="113">
        <f>F41/D41*100</f>
        <v>101.05796943401518</v>
      </c>
      <c r="H41" s="114">
        <f>F41/E41*100</f>
        <v>98.148187375174</v>
      </c>
    </row>
    <row r="42" spans="1:8" ht="12.75">
      <c r="A42" s="39" t="s">
        <v>29</v>
      </c>
      <c r="B42" s="12">
        <v>18875</v>
      </c>
      <c r="C42" s="12">
        <v>18728</v>
      </c>
      <c r="D42" s="12">
        <v>27669</v>
      </c>
      <c r="E42" s="12">
        <v>27837</v>
      </c>
      <c r="F42" s="12">
        <v>25772</v>
      </c>
      <c r="G42" s="113">
        <f>F42/D42*100</f>
        <v>93.1439517149156</v>
      </c>
      <c r="H42" s="114">
        <f>F42/E42*100</f>
        <v>92.58181556920646</v>
      </c>
    </row>
    <row r="43" spans="1:10" ht="12.75">
      <c r="A43" s="21" t="s">
        <v>30</v>
      </c>
      <c r="B43" s="22">
        <v>224360</v>
      </c>
      <c r="C43" s="22">
        <v>225390</v>
      </c>
      <c r="D43" s="22">
        <v>222303</v>
      </c>
      <c r="E43" s="22">
        <v>228815</v>
      </c>
      <c r="F43" s="22">
        <v>223186</v>
      </c>
      <c r="G43" s="119">
        <f>F43/D43*100</f>
        <v>100.39720561575866</v>
      </c>
      <c r="H43" s="120">
        <f>F43/E43*100</f>
        <v>97.53993400782292</v>
      </c>
      <c r="J43" s="2" t="s">
        <v>53</v>
      </c>
    </row>
    <row r="44" spans="1:8" ht="12.75">
      <c r="A44" s="21" t="s">
        <v>31</v>
      </c>
      <c r="B44" s="22">
        <v>12613</v>
      </c>
      <c r="C44" s="22">
        <v>12884</v>
      </c>
      <c r="D44" s="22">
        <v>12939</v>
      </c>
      <c r="E44" s="22">
        <v>13320.56</v>
      </c>
      <c r="F44" s="22">
        <v>13015</v>
      </c>
      <c r="G44" s="119">
        <f>F44/D44*100</f>
        <v>100.58737151248165</v>
      </c>
      <c r="H44" s="120">
        <f>F44/E44*100</f>
        <v>97.7061024461434</v>
      </c>
    </row>
    <row r="45" spans="1:8" ht="12.75">
      <c r="A45" s="17" t="s">
        <v>32</v>
      </c>
      <c r="B45" s="22">
        <v>0</v>
      </c>
      <c r="C45" s="18">
        <v>0</v>
      </c>
      <c r="D45" s="22">
        <v>0</v>
      </c>
      <c r="E45" s="22">
        <v>0</v>
      </c>
      <c r="F45" s="22">
        <v>0</v>
      </c>
      <c r="G45" s="113">
        <v>0</v>
      </c>
      <c r="H45" s="114">
        <v>0</v>
      </c>
    </row>
    <row r="46" spans="1:8" ht="12.75">
      <c r="A46" s="17" t="s">
        <v>33</v>
      </c>
      <c r="B46" s="18">
        <f>B48+B49+B50+B52+B56</f>
        <v>1467961</v>
      </c>
      <c r="C46" s="18">
        <f>C48+C49+C50+C52+C56</f>
        <v>1328927</v>
      </c>
      <c r="D46" s="18">
        <f>D48+D49+D50+D52+D56</f>
        <v>1704026</v>
      </c>
      <c r="E46" s="18">
        <f>E48+E49+E50+E52+E56</f>
        <v>1829246.09046</v>
      </c>
      <c r="F46" s="18">
        <f>F48+F49+F50+F52+F56</f>
        <v>1493000</v>
      </c>
      <c r="G46" s="119">
        <f>F46/D46*100</f>
        <v>87.61603402764982</v>
      </c>
      <c r="H46" s="120">
        <f>F46/E46*100</f>
        <v>81.6183239524954</v>
      </c>
    </row>
    <row r="47" spans="1:8" ht="12.75">
      <c r="A47" s="11" t="s">
        <v>34</v>
      </c>
      <c r="B47" s="12"/>
      <c r="C47" s="12"/>
      <c r="D47" s="12"/>
      <c r="E47" s="12"/>
      <c r="F47" s="12"/>
      <c r="G47" s="113"/>
      <c r="H47" s="114"/>
    </row>
    <row r="48" spans="1:8" ht="12.75">
      <c r="A48" s="11" t="s">
        <v>35</v>
      </c>
      <c r="B48" s="12">
        <v>33134</v>
      </c>
      <c r="C48" s="12">
        <f>63498-36147</f>
        <v>27351</v>
      </c>
      <c r="D48" s="12">
        <f>70+12+27874</f>
        <v>27956</v>
      </c>
      <c r="E48" s="12">
        <v>48786.758</v>
      </c>
      <c r="F48" s="12">
        <v>45230</v>
      </c>
      <c r="G48" s="113">
        <f aca="true" t="shared" si="2" ref="G48:G59">F48/D48*100</f>
        <v>161.78995564458432</v>
      </c>
      <c r="H48" s="114">
        <f aca="true" t="shared" si="3" ref="H48:H59">F48/E48*100</f>
        <v>92.70958320288469</v>
      </c>
    </row>
    <row r="49" spans="1:8" ht="12.75">
      <c r="A49" s="11" t="s">
        <v>36</v>
      </c>
      <c r="B49" s="12">
        <v>35799</v>
      </c>
      <c r="C49" s="12">
        <f>78351-33000</f>
        <v>45351</v>
      </c>
      <c r="D49" s="12">
        <f>677+42233</f>
        <v>42910</v>
      </c>
      <c r="E49" s="12">
        <v>42598.47</v>
      </c>
      <c r="F49" s="12">
        <v>41722</v>
      </c>
      <c r="G49" s="113">
        <f t="shared" si="2"/>
        <v>97.23141458867397</v>
      </c>
      <c r="H49" s="114">
        <f t="shared" si="3"/>
        <v>97.94248478877293</v>
      </c>
    </row>
    <row r="50" spans="1:8" ht="12.75">
      <c r="A50" s="11" t="s">
        <v>37</v>
      </c>
      <c r="B50" s="12">
        <v>1034303</v>
      </c>
      <c r="C50" s="12">
        <f>1040425-46862</f>
        <v>993563</v>
      </c>
      <c r="D50" s="12">
        <f>329+598+1314430</f>
        <v>1315357</v>
      </c>
      <c r="E50" s="12">
        <v>1412191.633</v>
      </c>
      <c r="F50" s="12">
        <v>1208001</v>
      </c>
      <c r="G50" s="113">
        <f t="shared" si="2"/>
        <v>91.83826139975687</v>
      </c>
      <c r="H50" s="114">
        <f t="shared" si="3"/>
        <v>85.54086936726668</v>
      </c>
    </row>
    <row r="51" spans="1:8" ht="12.75">
      <c r="A51" s="11" t="s">
        <v>38</v>
      </c>
      <c r="B51" s="12">
        <v>8932</v>
      </c>
      <c r="C51" s="12">
        <v>11778</v>
      </c>
      <c r="D51" s="12">
        <v>126255</v>
      </c>
      <c r="E51" s="12">
        <v>126255.6</v>
      </c>
      <c r="F51" s="12">
        <v>125121</v>
      </c>
      <c r="G51" s="113">
        <f t="shared" si="2"/>
        <v>99.10181774979209</v>
      </c>
      <c r="H51" s="114">
        <f t="shared" si="3"/>
        <v>99.10134679174625</v>
      </c>
    </row>
    <row r="52" spans="1:8" ht="12.75">
      <c r="A52" s="11" t="s">
        <v>39</v>
      </c>
      <c r="B52" s="12">
        <v>193371</v>
      </c>
      <c r="C52" s="12">
        <f>205371-65292</f>
        <v>140079</v>
      </c>
      <c r="D52" s="12">
        <f>260+20+143343</f>
        <v>143623</v>
      </c>
      <c r="E52" s="12">
        <v>147206.442</v>
      </c>
      <c r="F52" s="12">
        <v>121386</v>
      </c>
      <c r="G52" s="113">
        <f t="shared" si="2"/>
        <v>84.51710380649338</v>
      </c>
      <c r="H52" s="114">
        <f t="shared" si="3"/>
        <v>82.45970648485614</v>
      </c>
    </row>
    <row r="53" spans="1:8" ht="12.75">
      <c r="A53" s="11" t="s">
        <v>40</v>
      </c>
      <c r="B53" s="12">
        <v>110689</v>
      </c>
      <c r="C53" s="12">
        <f>146158-65292</f>
        <v>80866</v>
      </c>
      <c r="D53" s="12">
        <f>260+79554</f>
        <v>79814</v>
      </c>
      <c r="E53" s="12">
        <v>92483.459</v>
      </c>
      <c r="F53" s="12">
        <v>85443</v>
      </c>
      <c r="G53" s="113">
        <f t="shared" si="2"/>
        <v>107.05264740521714</v>
      </c>
      <c r="H53" s="114">
        <f t="shared" si="3"/>
        <v>92.38733166327613</v>
      </c>
    </row>
    <row r="54" spans="1:8" ht="12.75">
      <c r="A54" s="11" t="s">
        <v>41</v>
      </c>
      <c r="B54" s="12">
        <v>44025</v>
      </c>
      <c r="C54" s="12">
        <v>290</v>
      </c>
      <c r="D54" s="12">
        <v>4918</v>
      </c>
      <c r="E54" s="12">
        <v>4918</v>
      </c>
      <c r="F54" s="12">
        <v>2767</v>
      </c>
      <c r="G54" s="113">
        <f t="shared" si="2"/>
        <v>56.26270841805612</v>
      </c>
      <c r="H54" s="114">
        <f t="shared" si="3"/>
        <v>56.26270841805612</v>
      </c>
    </row>
    <row r="55" spans="1:8" ht="12.75">
      <c r="A55" s="11" t="s">
        <v>42</v>
      </c>
      <c r="B55" s="12">
        <v>34479</v>
      </c>
      <c r="C55" s="12">
        <v>50231</v>
      </c>
      <c r="D55" s="12">
        <f>49785</f>
        <v>49785</v>
      </c>
      <c r="E55" s="12">
        <v>45125</v>
      </c>
      <c r="F55" s="12">
        <v>29938</v>
      </c>
      <c r="G55" s="113">
        <f t="shared" si="2"/>
        <v>60.13457868835995</v>
      </c>
      <c r="H55" s="114">
        <f t="shared" si="3"/>
        <v>66.34459833795013</v>
      </c>
    </row>
    <row r="56" spans="1:8" ht="13.5" thickBot="1">
      <c r="A56" s="37" t="s">
        <v>43</v>
      </c>
      <c r="B56" s="38">
        <v>171354</v>
      </c>
      <c r="C56" s="38">
        <f>126583-4000</f>
        <v>122583</v>
      </c>
      <c r="D56" s="38">
        <f>505+33305+7500+21+1022+352+2+12919+3649+35405+79500</f>
        <v>174180</v>
      </c>
      <c r="E56" s="38">
        <v>178462.78746</v>
      </c>
      <c r="F56" s="38">
        <v>76661</v>
      </c>
      <c r="G56" s="121">
        <f t="shared" si="2"/>
        <v>44.01251578826501</v>
      </c>
      <c r="H56" s="122">
        <f t="shared" si="3"/>
        <v>42.95629418944413</v>
      </c>
    </row>
    <row r="57" spans="1:8" ht="12.75">
      <c r="A57" s="11" t="s">
        <v>44</v>
      </c>
      <c r="B57" s="12">
        <v>1374</v>
      </c>
      <c r="C57" s="12">
        <v>1400</v>
      </c>
      <c r="D57" s="12">
        <v>1407</v>
      </c>
      <c r="E57" s="12">
        <v>1407</v>
      </c>
      <c r="F57" s="45">
        <v>1373</v>
      </c>
      <c r="G57" s="113">
        <f t="shared" si="2"/>
        <v>97.58351101634683</v>
      </c>
      <c r="H57" s="114">
        <f t="shared" si="3"/>
        <v>97.58351101634683</v>
      </c>
    </row>
    <row r="58" spans="1:8" ht="12.75">
      <c r="A58" s="11" t="s">
        <v>45</v>
      </c>
      <c r="B58" s="12">
        <f>B41/B57/12*1000</f>
        <v>38217.30955846676</v>
      </c>
      <c r="C58" s="12">
        <f>C41/C57/12*1000</f>
        <v>38344.22619047619</v>
      </c>
      <c r="D58" s="12">
        <f>D41/D57/12*1000</f>
        <v>38017.649846008055</v>
      </c>
      <c r="E58" s="45">
        <f>E41/E57/12*1000</f>
        <v>39144.75242833452</v>
      </c>
      <c r="F58" s="12">
        <f>F41/F57/12*1000</f>
        <v>39371.26729788783</v>
      </c>
      <c r="G58" s="113">
        <f t="shared" si="2"/>
        <v>103.56049744621947</v>
      </c>
      <c r="H58" s="114">
        <f t="shared" si="3"/>
        <v>100.57865960442084</v>
      </c>
    </row>
    <row r="59" spans="1:8" ht="13.5" thickBot="1">
      <c r="A59" s="7" t="s">
        <v>46</v>
      </c>
      <c r="B59" s="13">
        <f>B46/B57*1000</f>
        <v>1068385.0072780203</v>
      </c>
      <c r="C59" s="13">
        <f>C46/C57*1000</f>
        <v>949233.5714285714</v>
      </c>
      <c r="D59" s="13">
        <f>D46/D57*1000</f>
        <v>1211105.8990760483</v>
      </c>
      <c r="E59" s="82">
        <f>E46/E57*1000</f>
        <v>1300103.831172708</v>
      </c>
      <c r="F59" s="13">
        <f>F46/F57*1000</f>
        <v>1087399.854333576</v>
      </c>
      <c r="G59" s="121">
        <f t="shared" si="2"/>
        <v>89.78569546751878</v>
      </c>
      <c r="H59" s="123">
        <f t="shared" si="3"/>
        <v>83.63946234607504</v>
      </c>
    </row>
  </sheetData>
  <mergeCells count="1">
    <mergeCell ref="C4:H4"/>
  </mergeCells>
  <printOptions/>
  <pageMargins left="0.984251968503937" right="0" top="0.984251968503937" bottom="0.3937007874015748" header="0.31496062992125984" footer="0.5118110236220472"/>
  <pageSetup horizontalDpi="600" verticalDpi="600" orientation="portrait" paperSize="9" scale="95" r:id="rId1"/>
  <headerFooter alignWithMargins="0">
    <oddHeader>&amp;R&amp;"Arial CE,Tučné"&amp;12&amp;UPříloha č. 3 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L15" sqref="L15"/>
    </sheetView>
  </sheetViews>
  <sheetFormatPr defaultColWidth="9.125" defaultRowHeight="12.75"/>
  <cols>
    <col min="1" max="1" width="33.125" style="2" customWidth="1"/>
    <col min="2" max="2" width="12.75390625" style="34" hidden="1" customWidth="1"/>
    <col min="3" max="4" width="11.125" style="2" customWidth="1"/>
    <col min="5" max="5" width="11.875" style="2" customWidth="1"/>
    <col min="6" max="6" width="11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47</v>
      </c>
      <c r="B1" s="33"/>
    </row>
    <row r="2" ht="12.75">
      <c r="A2" s="2" t="s">
        <v>71</v>
      </c>
    </row>
    <row r="3" spans="6:8" ht="13.5" thickBot="1">
      <c r="F3" s="3"/>
      <c r="H3" s="24"/>
    </row>
    <row r="4" spans="1:8" ht="12.75">
      <c r="A4" s="4"/>
      <c r="B4" s="36">
        <v>2008</v>
      </c>
      <c r="C4" s="152">
        <v>2010</v>
      </c>
      <c r="D4" s="153"/>
      <c r="E4" s="153"/>
      <c r="F4" s="153"/>
      <c r="G4" s="153"/>
      <c r="H4" s="154"/>
    </row>
    <row r="5" spans="1:8" ht="12.75">
      <c r="A5" s="5" t="s">
        <v>1</v>
      </c>
      <c r="B5" s="35" t="s">
        <v>2</v>
      </c>
      <c r="C5" s="97" t="s">
        <v>63</v>
      </c>
      <c r="D5" s="85"/>
      <c r="E5" s="27"/>
      <c r="F5" s="25" t="s">
        <v>2</v>
      </c>
      <c r="G5" s="25" t="s">
        <v>3</v>
      </c>
      <c r="H5" s="98" t="s">
        <v>3</v>
      </c>
    </row>
    <row r="6" spans="1:8" ht="13.5" thickBot="1">
      <c r="A6" s="7"/>
      <c r="B6" s="28" t="s">
        <v>66</v>
      </c>
      <c r="C6" s="99" t="s">
        <v>4</v>
      </c>
      <c r="D6" s="26" t="s">
        <v>64</v>
      </c>
      <c r="E6" s="96" t="s">
        <v>68</v>
      </c>
      <c r="F6" s="28" t="s">
        <v>66</v>
      </c>
      <c r="G6" s="26" t="s">
        <v>70</v>
      </c>
      <c r="H6" s="100" t="s">
        <v>69</v>
      </c>
    </row>
    <row r="7" spans="1:8" ht="13.5" thickBot="1">
      <c r="A7" s="7" t="s">
        <v>5</v>
      </c>
      <c r="B7" s="28">
        <v>1</v>
      </c>
      <c r="C7" s="99">
        <v>2</v>
      </c>
      <c r="D7" s="8">
        <v>3</v>
      </c>
      <c r="E7" s="8">
        <v>4</v>
      </c>
      <c r="F7" s="8">
        <v>5</v>
      </c>
      <c r="G7" s="28" t="s">
        <v>65</v>
      </c>
      <c r="H7" s="19" t="s">
        <v>67</v>
      </c>
    </row>
    <row r="8" spans="1:8" ht="12.75">
      <c r="A8" s="9" t="s">
        <v>6</v>
      </c>
      <c r="B8" s="10">
        <f>SUM(B10:B28)</f>
        <v>0</v>
      </c>
      <c r="C8" s="101">
        <f>SUM(C10:C28)</f>
        <v>0</v>
      </c>
      <c r="D8" s="10"/>
      <c r="E8" s="10">
        <f>SUM(E10:E28)</f>
        <v>0</v>
      </c>
      <c r="F8" s="10">
        <f>SUM(F10:F28)</f>
        <v>0</v>
      </c>
      <c r="G8" s="29" t="e">
        <f>F8/D8*100</f>
        <v>#DIV/0!</v>
      </c>
      <c r="H8" s="92" t="e">
        <f>F8/E8*100</f>
        <v>#DIV/0!</v>
      </c>
    </row>
    <row r="9" spans="1:8" ht="12.75">
      <c r="A9" s="11" t="s">
        <v>7</v>
      </c>
      <c r="B9" s="12"/>
      <c r="C9" s="47"/>
      <c r="D9" s="12"/>
      <c r="E9" s="12"/>
      <c r="F9" s="12"/>
      <c r="G9" s="30"/>
      <c r="H9" s="93"/>
    </row>
    <row r="10" spans="1:8" ht="12.75">
      <c r="A10" s="11" t="s">
        <v>60</v>
      </c>
      <c r="B10" s="12"/>
      <c r="C10" s="47"/>
      <c r="D10" s="12"/>
      <c r="E10" s="12"/>
      <c r="F10" s="12"/>
      <c r="G10" s="103" t="e">
        <f aca="true" t="shared" si="0" ref="G10:G28">F10/D10*100</f>
        <v>#DIV/0!</v>
      </c>
      <c r="H10" s="91" t="e">
        <f aca="true" t="shared" si="1" ref="H10:H28">F10/E10*100</f>
        <v>#DIV/0!</v>
      </c>
    </row>
    <row r="11" spans="1:8" ht="12.75">
      <c r="A11" s="11" t="s">
        <v>8</v>
      </c>
      <c r="B11" s="12"/>
      <c r="C11" s="12"/>
      <c r="D11" s="12"/>
      <c r="E11" s="12"/>
      <c r="F11" s="12"/>
      <c r="G11" s="103" t="e">
        <f t="shared" si="0"/>
        <v>#DIV/0!</v>
      </c>
      <c r="H11" s="93" t="e">
        <f t="shared" si="1"/>
        <v>#DIV/0!</v>
      </c>
    </row>
    <row r="12" spans="1:8" ht="12.75">
      <c r="A12" s="11" t="s">
        <v>9</v>
      </c>
      <c r="B12" s="12"/>
      <c r="C12" s="12"/>
      <c r="D12" s="12"/>
      <c r="E12" s="12"/>
      <c r="F12" s="12"/>
      <c r="G12" s="103" t="e">
        <f t="shared" si="0"/>
        <v>#DIV/0!</v>
      </c>
      <c r="H12" s="93" t="e">
        <f t="shared" si="1"/>
        <v>#DIV/0!</v>
      </c>
    </row>
    <row r="13" spans="1:8" ht="12.75">
      <c r="A13" s="11" t="s">
        <v>10</v>
      </c>
      <c r="B13" s="12"/>
      <c r="C13" s="12"/>
      <c r="D13" s="12"/>
      <c r="E13" s="12"/>
      <c r="F13" s="12"/>
      <c r="G13" s="103" t="e">
        <f t="shared" si="0"/>
        <v>#DIV/0!</v>
      </c>
      <c r="H13" s="94" t="e">
        <f t="shared" si="1"/>
        <v>#DIV/0!</v>
      </c>
    </row>
    <row r="14" spans="1:8" ht="12.75">
      <c r="A14" s="43" t="s">
        <v>56</v>
      </c>
      <c r="B14" s="12"/>
      <c r="C14" s="12"/>
      <c r="D14" s="12"/>
      <c r="E14" s="12"/>
      <c r="F14" s="12"/>
      <c r="G14" s="103" t="e">
        <f t="shared" si="0"/>
        <v>#DIV/0!</v>
      </c>
      <c r="H14" s="94" t="e">
        <f t="shared" si="1"/>
        <v>#DIV/0!</v>
      </c>
    </row>
    <row r="15" spans="1:8" ht="12.75">
      <c r="A15" s="11" t="s">
        <v>11</v>
      </c>
      <c r="B15" s="12"/>
      <c r="C15" s="12"/>
      <c r="D15" s="12"/>
      <c r="E15" s="12"/>
      <c r="F15" s="12"/>
      <c r="G15" s="103" t="e">
        <f t="shared" si="0"/>
        <v>#DIV/0!</v>
      </c>
      <c r="H15" s="94" t="e">
        <f t="shared" si="1"/>
        <v>#DIV/0!</v>
      </c>
    </row>
    <row r="16" spans="1:8" ht="12.75">
      <c r="A16" s="11" t="s">
        <v>12</v>
      </c>
      <c r="B16" s="12"/>
      <c r="C16" s="12"/>
      <c r="D16" s="12"/>
      <c r="E16" s="12"/>
      <c r="F16" s="12"/>
      <c r="G16" s="103" t="e">
        <f t="shared" si="0"/>
        <v>#DIV/0!</v>
      </c>
      <c r="H16" s="94" t="e">
        <f t="shared" si="1"/>
        <v>#DIV/0!</v>
      </c>
    </row>
    <row r="17" spans="1:8" ht="12.75">
      <c r="A17" s="11" t="s">
        <v>13</v>
      </c>
      <c r="B17" s="20"/>
      <c r="C17" s="12"/>
      <c r="D17" s="12"/>
      <c r="E17" s="12"/>
      <c r="F17" s="20"/>
      <c r="G17" s="103" t="e">
        <f t="shared" si="0"/>
        <v>#DIV/0!</v>
      </c>
      <c r="H17" s="41" t="e">
        <f t="shared" si="1"/>
        <v>#DIV/0!</v>
      </c>
    </row>
    <row r="18" spans="1:8" ht="12.75">
      <c r="A18" s="11" t="s">
        <v>14</v>
      </c>
      <c r="B18" s="20"/>
      <c r="C18" s="12"/>
      <c r="D18" s="12"/>
      <c r="E18" s="12"/>
      <c r="F18" s="20"/>
      <c r="G18" s="103" t="e">
        <f t="shared" si="0"/>
        <v>#DIV/0!</v>
      </c>
      <c r="H18" s="41" t="e">
        <f t="shared" si="1"/>
        <v>#DIV/0!</v>
      </c>
    </row>
    <row r="19" spans="1:8" ht="12.75">
      <c r="A19" s="11" t="s">
        <v>15</v>
      </c>
      <c r="B19" s="12"/>
      <c r="C19" s="12"/>
      <c r="D19" s="12"/>
      <c r="E19" s="12"/>
      <c r="F19" s="20"/>
      <c r="G19" s="103" t="e">
        <f t="shared" si="0"/>
        <v>#DIV/0!</v>
      </c>
      <c r="H19" s="41" t="e">
        <f t="shared" si="1"/>
        <v>#DIV/0!</v>
      </c>
    </row>
    <row r="20" spans="1:8" ht="12.75">
      <c r="A20" s="11" t="s">
        <v>62</v>
      </c>
      <c r="B20" s="12"/>
      <c r="C20" s="12"/>
      <c r="D20" s="12"/>
      <c r="E20" s="12"/>
      <c r="F20" s="20"/>
      <c r="G20" s="103" t="e">
        <f t="shared" si="0"/>
        <v>#DIV/0!</v>
      </c>
      <c r="H20" s="41" t="e">
        <f t="shared" si="1"/>
        <v>#DIV/0!</v>
      </c>
    </row>
    <row r="21" spans="1:8" ht="12.75">
      <c r="A21" s="44" t="s">
        <v>57</v>
      </c>
      <c r="B21" s="12"/>
      <c r="C21" s="12"/>
      <c r="D21" s="12"/>
      <c r="E21" s="12"/>
      <c r="F21" s="20"/>
      <c r="G21" s="103" t="e">
        <f t="shared" si="0"/>
        <v>#DIV/0!</v>
      </c>
      <c r="H21" s="41" t="e">
        <f t="shared" si="1"/>
        <v>#DIV/0!</v>
      </c>
    </row>
    <row r="22" spans="1:8" ht="12.75">
      <c r="A22" s="11" t="s">
        <v>16</v>
      </c>
      <c r="B22" s="12"/>
      <c r="C22" s="12"/>
      <c r="D22" s="12"/>
      <c r="E22" s="12"/>
      <c r="F22" s="20"/>
      <c r="G22" s="103" t="e">
        <f t="shared" si="0"/>
        <v>#DIV/0!</v>
      </c>
      <c r="H22" s="41" t="e">
        <f t="shared" si="1"/>
        <v>#DIV/0!</v>
      </c>
    </row>
    <row r="23" spans="1:8" ht="12.75">
      <c r="A23" s="44" t="s">
        <v>58</v>
      </c>
      <c r="B23" s="12"/>
      <c r="C23" s="12"/>
      <c r="D23" s="12"/>
      <c r="E23" s="12"/>
      <c r="F23" s="20"/>
      <c r="G23" s="103" t="e">
        <f t="shared" si="0"/>
        <v>#DIV/0!</v>
      </c>
      <c r="H23" s="41" t="e">
        <f t="shared" si="1"/>
        <v>#DIV/0!</v>
      </c>
    </row>
    <row r="24" spans="1:8" ht="12.75" customHeight="1">
      <c r="A24" s="11" t="s">
        <v>17</v>
      </c>
      <c r="B24" s="12"/>
      <c r="C24" s="12"/>
      <c r="D24" s="12"/>
      <c r="E24" s="12"/>
      <c r="F24" s="12"/>
      <c r="G24" s="103" t="e">
        <f t="shared" si="0"/>
        <v>#DIV/0!</v>
      </c>
      <c r="H24" s="41" t="e">
        <f t="shared" si="1"/>
        <v>#DIV/0!</v>
      </c>
    </row>
    <row r="25" spans="1:8" ht="12.75" customHeight="1">
      <c r="A25" s="11" t="s">
        <v>72</v>
      </c>
      <c r="B25" s="12"/>
      <c r="C25" s="12"/>
      <c r="D25" s="12"/>
      <c r="E25" s="12"/>
      <c r="F25" s="12"/>
      <c r="G25" s="103" t="e">
        <f>F25/D25*100</f>
        <v>#DIV/0!</v>
      </c>
      <c r="H25" s="41" t="e">
        <f>F25/E25*100</f>
        <v>#DIV/0!</v>
      </c>
    </row>
    <row r="26" spans="1:8" ht="12.75" customHeight="1">
      <c r="A26" s="11" t="s">
        <v>59</v>
      </c>
      <c r="B26" s="12"/>
      <c r="C26" s="12"/>
      <c r="D26" s="12"/>
      <c r="E26" s="12"/>
      <c r="F26" s="20"/>
      <c r="G26" s="103" t="e">
        <f t="shared" si="0"/>
        <v>#DIV/0!</v>
      </c>
      <c r="H26" s="41" t="e">
        <f t="shared" si="1"/>
        <v>#DIV/0!</v>
      </c>
    </row>
    <row r="27" spans="1:8" ht="12.75" customHeight="1">
      <c r="A27" s="64" t="s">
        <v>61</v>
      </c>
      <c r="B27" s="65"/>
      <c r="C27" s="65"/>
      <c r="D27" s="65"/>
      <c r="E27" s="65"/>
      <c r="F27" s="68"/>
      <c r="G27" s="104" t="e">
        <f t="shared" si="0"/>
        <v>#DIV/0!</v>
      </c>
      <c r="H27" s="66" t="e">
        <f t="shared" si="1"/>
        <v>#DIV/0!</v>
      </c>
    </row>
    <row r="28" spans="1:8" ht="13.5" thickBot="1">
      <c r="A28" s="7" t="s">
        <v>18</v>
      </c>
      <c r="B28" s="13"/>
      <c r="C28" s="13"/>
      <c r="D28" s="13"/>
      <c r="E28" s="13"/>
      <c r="F28" s="13"/>
      <c r="G28" s="105" t="e">
        <f t="shared" si="0"/>
        <v>#DIV/0!</v>
      </c>
      <c r="H28" s="60" t="e">
        <f t="shared" si="1"/>
        <v>#DIV/0!</v>
      </c>
    </row>
    <row r="29" spans="1:8" ht="12.75">
      <c r="A29" s="5"/>
      <c r="B29" s="14"/>
      <c r="C29" s="14"/>
      <c r="D29" s="14"/>
      <c r="E29" s="14"/>
      <c r="F29" s="14"/>
      <c r="G29" s="31"/>
      <c r="H29" s="6"/>
    </row>
    <row r="30" spans="1:8" ht="12.75">
      <c r="A30" s="9" t="s">
        <v>19</v>
      </c>
      <c r="B30" s="10">
        <f>B32+B38</f>
        <v>0</v>
      </c>
      <c r="C30" s="10">
        <f>C32+C38</f>
        <v>210659</v>
      </c>
      <c r="D30" s="10">
        <f>D32+D38</f>
        <v>110709</v>
      </c>
      <c r="E30" s="10">
        <f>E32+E38</f>
        <v>0</v>
      </c>
      <c r="F30" s="10">
        <f>F32+F38</f>
        <v>0</v>
      </c>
      <c r="G30" s="111">
        <f>F30/D30*100</f>
        <v>0</v>
      </c>
      <c r="H30" s="112" t="e">
        <f aca="true" t="shared" si="2" ref="H30:H59">F30/E30*100</f>
        <v>#DIV/0!</v>
      </c>
    </row>
    <row r="31" spans="1:8" ht="12.75">
      <c r="A31" s="11" t="s">
        <v>20</v>
      </c>
      <c r="B31" s="12"/>
      <c r="C31" s="12"/>
      <c r="D31" s="12"/>
      <c r="E31" s="12"/>
      <c r="F31" s="12"/>
      <c r="G31" s="113"/>
      <c r="H31" s="114"/>
    </row>
    <row r="32" spans="1:8" ht="12.75">
      <c r="A32" s="9" t="s">
        <v>21</v>
      </c>
      <c r="B32" s="10">
        <f>B34+B35+B36</f>
        <v>0</v>
      </c>
      <c r="C32" s="40">
        <f>C34+C35+C36</f>
        <v>25358</v>
      </c>
      <c r="D32" s="40">
        <f>D34+D35+D36</f>
        <v>18563</v>
      </c>
      <c r="E32" s="40">
        <f>E34+E35+E36</f>
        <v>0</v>
      </c>
      <c r="F32" s="40">
        <f>F34+F35+F36</f>
        <v>0</v>
      </c>
      <c r="G32" s="111">
        <f>F32/D32*100</f>
        <v>0</v>
      </c>
      <c r="H32" s="112" t="e">
        <f t="shared" si="2"/>
        <v>#DIV/0!</v>
      </c>
    </row>
    <row r="33" spans="1:8" ht="12.75">
      <c r="A33" s="11" t="s">
        <v>22</v>
      </c>
      <c r="B33" s="12"/>
      <c r="C33" s="12"/>
      <c r="D33" s="12"/>
      <c r="E33" s="12"/>
      <c r="F33" s="12"/>
      <c r="G33" s="113"/>
      <c r="H33" s="114"/>
    </row>
    <row r="34" spans="1:8" ht="12.75">
      <c r="A34" s="11" t="s">
        <v>23</v>
      </c>
      <c r="B34" s="12"/>
      <c r="C34" s="12"/>
      <c r="D34" s="12"/>
      <c r="E34" s="12"/>
      <c r="F34" s="12"/>
      <c r="G34" s="113" t="e">
        <f>F34/D34*100</f>
        <v>#DIV/0!</v>
      </c>
      <c r="H34" s="114" t="e">
        <f t="shared" si="2"/>
        <v>#DIV/0!</v>
      </c>
    </row>
    <row r="35" spans="1:8" ht="12.75">
      <c r="A35" s="11" t="s">
        <v>24</v>
      </c>
      <c r="B35" s="12"/>
      <c r="C35" s="12">
        <v>25358</v>
      </c>
      <c r="D35" s="62">
        <f>10000+3563+5000</f>
        <v>18563</v>
      </c>
      <c r="E35" s="12"/>
      <c r="F35" s="12">
        <v>0</v>
      </c>
      <c r="G35" s="113">
        <f>F35/D35*100</f>
        <v>0</v>
      </c>
      <c r="H35" s="114" t="e">
        <f t="shared" si="2"/>
        <v>#DIV/0!</v>
      </c>
    </row>
    <row r="36" spans="1:8" ht="12.75">
      <c r="A36" s="15" t="s">
        <v>25</v>
      </c>
      <c r="B36" s="16"/>
      <c r="C36" s="16">
        <v>0</v>
      </c>
      <c r="D36" s="16"/>
      <c r="E36" s="16"/>
      <c r="F36" s="16"/>
      <c r="G36" s="115" t="e">
        <f>F36/D36*100</f>
        <v>#DIV/0!</v>
      </c>
      <c r="H36" s="116"/>
    </row>
    <row r="37" spans="1:8" ht="12.75">
      <c r="A37" s="5"/>
      <c r="B37" s="14"/>
      <c r="C37" s="14"/>
      <c r="D37" s="14"/>
      <c r="E37" s="14"/>
      <c r="F37" s="14"/>
      <c r="G37" s="117"/>
      <c r="H37" s="118"/>
    </row>
    <row r="38" spans="1:8" ht="12.75">
      <c r="A38" s="9" t="s">
        <v>26</v>
      </c>
      <c r="B38" s="10">
        <f>B40+B43+B44+B45+B46</f>
        <v>0</v>
      </c>
      <c r="C38" s="10">
        <f>C40+C43+C44+C45+C46</f>
        <v>185301</v>
      </c>
      <c r="D38" s="10">
        <f>D40+D43+D44+D45+D46</f>
        <v>92146</v>
      </c>
      <c r="E38" s="10">
        <f>E40+E43+E44+E45+E46</f>
        <v>0</v>
      </c>
      <c r="F38" s="10">
        <f>F40+F43+F44+F45+F46</f>
        <v>0</v>
      </c>
      <c r="G38" s="111">
        <f>F38/D38*100</f>
        <v>0</v>
      </c>
      <c r="H38" s="112" t="e">
        <f t="shared" si="2"/>
        <v>#DIV/0!</v>
      </c>
    </row>
    <row r="39" spans="1:8" ht="12.75">
      <c r="A39" s="11" t="s">
        <v>22</v>
      </c>
      <c r="B39" s="12"/>
      <c r="C39" s="12"/>
      <c r="D39" s="12"/>
      <c r="E39" s="12"/>
      <c r="F39" s="12"/>
      <c r="G39" s="113"/>
      <c r="H39" s="114"/>
    </row>
    <row r="40" spans="1:8" ht="12.75">
      <c r="A40" s="17" t="s">
        <v>27</v>
      </c>
      <c r="B40" s="18">
        <f>B41+B42</f>
        <v>0</v>
      </c>
      <c r="C40" s="18">
        <f>C41+C42</f>
        <v>0</v>
      </c>
      <c r="D40" s="18">
        <f>D41+D42</f>
        <v>0</v>
      </c>
      <c r="E40" s="18">
        <f>E41+E42</f>
        <v>0</v>
      </c>
      <c r="F40" s="18">
        <f>F41+F42</f>
        <v>0</v>
      </c>
      <c r="G40" s="119" t="e">
        <f aca="true" t="shared" si="3" ref="G40:G46">F40/D40*100</f>
        <v>#DIV/0!</v>
      </c>
      <c r="H40" s="120" t="e">
        <f t="shared" si="2"/>
        <v>#DIV/0!</v>
      </c>
    </row>
    <row r="41" spans="1:8" ht="12.75">
      <c r="A41" s="11" t="s">
        <v>28</v>
      </c>
      <c r="B41" s="12"/>
      <c r="C41" s="12"/>
      <c r="D41" s="12"/>
      <c r="E41" s="12"/>
      <c r="F41" s="12"/>
      <c r="G41" s="113" t="e">
        <f t="shared" si="3"/>
        <v>#DIV/0!</v>
      </c>
      <c r="H41" s="114" t="e">
        <f t="shared" si="2"/>
        <v>#DIV/0!</v>
      </c>
    </row>
    <row r="42" spans="1:8" ht="12.75">
      <c r="A42" s="39" t="s">
        <v>29</v>
      </c>
      <c r="B42" s="12"/>
      <c r="C42" s="12"/>
      <c r="D42" s="12"/>
      <c r="E42" s="12"/>
      <c r="F42" s="12"/>
      <c r="G42" s="113" t="e">
        <f t="shared" si="3"/>
        <v>#DIV/0!</v>
      </c>
      <c r="H42" s="114" t="e">
        <f t="shared" si="2"/>
        <v>#DIV/0!</v>
      </c>
    </row>
    <row r="43" spans="1:10" ht="12.75">
      <c r="A43" s="21" t="s">
        <v>30</v>
      </c>
      <c r="B43" s="22"/>
      <c r="C43" s="22"/>
      <c r="D43" s="22"/>
      <c r="E43" s="22"/>
      <c r="F43" s="22"/>
      <c r="G43" s="119" t="e">
        <f t="shared" si="3"/>
        <v>#DIV/0!</v>
      </c>
      <c r="H43" s="120" t="e">
        <f t="shared" si="2"/>
        <v>#DIV/0!</v>
      </c>
      <c r="J43" s="2" t="s">
        <v>53</v>
      </c>
    </row>
    <row r="44" spans="1:8" ht="12.75">
      <c r="A44" s="21" t="s">
        <v>31</v>
      </c>
      <c r="B44" s="22"/>
      <c r="C44" s="22"/>
      <c r="D44" s="22"/>
      <c r="E44" s="22"/>
      <c r="F44" s="22"/>
      <c r="G44" s="119" t="e">
        <f t="shared" si="3"/>
        <v>#DIV/0!</v>
      </c>
      <c r="H44" s="120" t="e">
        <f t="shared" si="2"/>
        <v>#DIV/0!</v>
      </c>
    </row>
    <row r="45" spans="1:8" ht="12.75">
      <c r="A45" s="17" t="s">
        <v>32</v>
      </c>
      <c r="B45" s="32"/>
      <c r="C45" s="18"/>
      <c r="D45" s="18"/>
      <c r="E45" s="32"/>
      <c r="F45" s="32"/>
      <c r="G45" s="113" t="e">
        <f t="shared" si="3"/>
        <v>#DIV/0!</v>
      </c>
      <c r="H45" s="114" t="e">
        <f t="shared" si="2"/>
        <v>#DIV/0!</v>
      </c>
    </row>
    <row r="46" spans="1:8" ht="12.75">
      <c r="A46" s="17" t="s">
        <v>33</v>
      </c>
      <c r="B46" s="18">
        <f>B48+B49+B50+B52+B56</f>
        <v>0</v>
      </c>
      <c r="C46" s="18">
        <f>C48+C49+C50+C52+C56</f>
        <v>185301</v>
      </c>
      <c r="D46" s="18">
        <f>D48+D49+D50+D52+D56</f>
        <v>92146</v>
      </c>
      <c r="E46" s="18">
        <f>E48+E49+E50+E52+E56</f>
        <v>0</v>
      </c>
      <c r="F46" s="18">
        <f>F48+F49+F50+F52+F56</f>
        <v>0</v>
      </c>
      <c r="G46" s="119">
        <f t="shared" si="3"/>
        <v>0</v>
      </c>
      <c r="H46" s="120" t="e">
        <f t="shared" si="2"/>
        <v>#DIV/0!</v>
      </c>
    </row>
    <row r="47" spans="1:8" ht="12.75">
      <c r="A47" s="11" t="s">
        <v>34</v>
      </c>
      <c r="B47" s="12"/>
      <c r="C47" s="12"/>
      <c r="D47" s="12"/>
      <c r="E47" s="12"/>
      <c r="F47" s="12"/>
      <c r="G47" s="113"/>
      <c r="H47" s="114" t="e">
        <f t="shared" si="2"/>
        <v>#DIV/0!</v>
      </c>
    </row>
    <row r="48" spans="1:8" ht="12.75">
      <c r="A48" s="11" t="s">
        <v>35</v>
      </c>
      <c r="B48" s="12"/>
      <c r="C48" s="12">
        <v>36147</v>
      </c>
      <c r="D48" s="12"/>
      <c r="E48" s="12"/>
      <c r="F48" s="12"/>
      <c r="G48" s="113" t="e">
        <f aca="true" t="shared" si="4" ref="G48:G59">F48/D48*100</f>
        <v>#DIV/0!</v>
      </c>
      <c r="H48" s="114" t="e">
        <f t="shared" si="2"/>
        <v>#DIV/0!</v>
      </c>
    </row>
    <row r="49" spans="1:8" ht="12.75">
      <c r="A49" s="11" t="s">
        <v>36</v>
      </c>
      <c r="B49" s="12"/>
      <c r="C49" s="12">
        <v>33000</v>
      </c>
      <c r="D49" s="62">
        <v>29263</v>
      </c>
      <c r="E49" s="12"/>
      <c r="F49" s="12"/>
      <c r="G49" s="113">
        <f t="shared" si="4"/>
        <v>0</v>
      </c>
      <c r="H49" s="114" t="e">
        <f t="shared" si="2"/>
        <v>#DIV/0!</v>
      </c>
    </row>
    <row r="50" spans="1:8" ht="12.75">
      <c r="A50" s="11" t="s">
        <v>37</v>
      </c>
      <c r="B50" s="12"/>
      <c r="C50" s="12">
        <v>46862</v>
      </c>
      <c r="D50" s="62">
        <v>18549</v>
      </c>
      <c r="E50" s="12"/>
      <c r="F50" s="12"/>
      <c r="G50" s="113">
        <f t="shared" si="4"/>
        <v>0</v>
      </c>
      <c r="H50" s="114" t="e">
        <f t="shared" si="2"/>
        <v>#DIV/0!</v>
      </c>
    </row>
    <row r="51" spans="1:8" ht="12.75">
      <c r="A51" s="11" t="s">
        <v>38</v>
      </c>
      <c r="B51" s="12"/>
      <c r="C51" s="12"/>
      <c r="D51" s="62"/>
      <c r="E51" s="12"/>
      <c r="F51" s="12"/>
      <c r="G51" s="113" t="e">
        <f t="shared" si="4"/>
        <v>#DIV/0!</v>
      </c>
      <c r="H51" s="114" t="e">
        <f t="shared" si="2"/>
        <v>#DIV/0!</v>
      </c>
    </row>
    <row r="52" spans="1:8" ht="12.75">
      <c r="A52" s="11" t="s">
        <v>39</v>
      </c>
      <c r="B52" s="12"/>
      <c r="C52" s="12">
        <v>65292</v>
      </c>
      <c r="D52" s="62">
        <f>15583+24751</f>
        <v>40334</v>
      </c>
      <c r="E52" s="12"/>
      <c r="F52" s="12">
        <v>0</v>
      </c>
      <c r="G52" s="113">
        <f t="shared" si="4"/>
        <v>0</v>
      </c>
      <c r="H52" s="114" t="e">
        <f t="shared" si="2"/>
        <v>#DIV/0!</v>
      </c>
    </row>
    <row r="53" spans="1:8" ht="12.75">
      <c r="A53" s="11" t="s">
        <v>40</v>
      </c>
      <c r="B53" s="12"/>
      <c r="C53" s="12">
        <v>65292</v>
      </c>
      <c r="D53" s="62">
        <f>15583+24751</f>
        <v>40334</v>
      </c>
      <c r="E53" s="12"/>
      <c r="F53" s="12"/>
      <c r="G53" s="113">
        <f t="shared" si="4"/>
        <v>0</v>
      </c>
      <c r="H53" s="114" t="e">
        <f t="shared" si="2"/>
        <v>#DIV/0!</v>
      </c>
    </row>
    <row r="54" spans="1:8" ht="12.75">
      <c r="A54" s="11" t="s">
        <v>41</v>
      </c>
      <c r="B54" s="12"/>
      <c r="C54" s="12"/>
      <c r="D54" s="62"/>
      <c r="E54" s="12"/>
      <c r="F54" s="12"/>
      <c r="G54" s="113" t="e">
        <f t="shared" si="4"/>
        <v>#DIV/0!</v>
      </c>
      <c r="H54" s="114" t="e">
        <f t="shared" si="2"/>
        <v>#DIV/0!</v>
      </c>
    </row>
    <row r="55" spans="1:8" ht="12.75">
      <c r="A55" s="11" t="s">
        <v>42</v>
      </c>
      <c r="B55" s="12"/>
      <c r="C55" s="12"/>
      <c r="D55" s="62"/>
      <c r="E55" s="12"/>
      <c r="F55" s="12"/>
      <c r="G55" s="113" t="e">
        <f t="shared" si="4"/>
        <v>#DIV/0!</v>
      </c>
      <c r="H55" s="114" t="e">
        <f t="shared" si="2"/>
        <v>#DIV/0!</v>
      </c>
    </row>
    <row r="56" spans="1:8" ht="13.5" thickBot="1">
      <c r="A56" s="37" t="s">
        <v>43</v>
      </c>
      <c r="B56" s="38"/>
      <c r="C56" s="38">
        <v>4000</v>
      </c>
      <c r="D56" s="150">
        <v>4000</v>
      </c>
      <c r="E56" s="38"/>
      <c r="F56" s="38"/>
      <c r="G56" s="121">
        <f t="shared" si="4"/>
        <v>0</v>
      </c>
      <c r="H56" s="122" t="e">
        <f t="shared" si="2"/>
        <v>#DIV/0!</v>
      </c>
    </row>
    <row r="57" spans="1:8" ht="12.75">
      <c r="A57" s="11" t="s">
        <v>44</v>
      </c>
      <c r="B57" s="12"/>
      <c r="C57" s="12"/>
      <c r="D57" s="12"/>
      <c r="E57" s="12"/>
      <c r="F57" s="12"/>
      <c r="G57" s="113" t="e">
        <f t="shared" si="4"/>
        <v>#DIV/0!</v>
      </c>
      <c r="H57" s="114" t="e">
        <f t="shared" si="2"/>
        <v>#DIV/0!</v>
      </c>
    </row>
    <row r="58" spans="1:8" ht="12.75">
      <c r="A58" s="11" t="s">
        <v>45</v>
      </c>
      <c r="B58" s="12" t="e">
        <f>B41/B57/12*1000</f>
        <v>#DIV/0!</v>
      </c>
      <c r="C58" s="12" t="e">
        <f>C41/C57/12*1000</f>
        <v>#DIV/0!</v>
      </c>
      <c r="D58" s="12" t="e">
        <f>D41/D57/12*1000</f>
        <v>#DIV/0!</v>
      </c>
      <c r="E58" s="12" t="e">
        <f>E41/E57/12*1000</f>
        <v>#DIV/0!</v>
      </c>
      <c r="F58" s="12" t="e">
        <f>F41/F57/12*1000</f>
        <v>#DIV/0!</v>
      </c>
      <c r="G58" s="113" t="e">
        <f t="shared" si="4"/>
        <v>#DIV/0!</v>
      </c>
      <c r="H58" s="114" t="e">
        <f t="shared" si="2"/>
        <v>#DIV/0!</v>
      </c>
    </row>
    <row r="59" spans="1:8" ht="13.5" thickBot="1">
      <c r="A59" s="7" t="s">
        <v>46</v>
      </c>
      <c r="B59" s="13" t="e">
        <f>B46/B57*1000</f>
        <v>#DIV/0!</v>
      </c>
      <c r="C59" s="13" t="e">
        <f>C46/C57*1000</f>
        <v>#DIV/0!</v>
      </c>
      <c r="D59" s="13" t="e">
        <f>D46/D57*1000</f>
        <v>#DIV/0!</v>
      </c>
      <c r="E59" s="13" t="e">
        <f>E46/E57*1000</f>
        <v>#DIV/0!</v>
      </c>
      <c r="F59" s="13" t="e">
        <f>F46/F57*1000</f>
        <v>#DIV/0!</v>
      </c>
      <c r="G59" s="121" t="e">
        <f t="shared" si="4"/>
        <v>#DIV/0!</v>
      </c>
      <c r="H59" s="122" t="e">
        <f t="shared" si="2"/>
        <v>#DIV/0!</v>
      </c>
    </row>
  </sheetData>
  <mergeCells count="1">
    <mergeCell ref="C4:H4"/>
  </mergeCells>
  <printOptions/>
  <pageMargins left="1.1811023622047245" right="0" top="0.984251968503937" bottom="0.3937007874015748" header="0.31496062992125984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K15" sqref="K15"/>
    </sheetView>
  </sheetViews>
  <sheetFormatPr defaultColWidth="9.125" defaultRowHeight="12.75"/>
  <cols>
    <col min="1" max="1" width="33.125" style="2" customWidth="1"/>
    <col min="2" max="2" width="12.75390625" style="34" hidden="1" customWidth="1"/>
    <col min="3" max="4" width="10.125" style="2" customWidth="1"/>
    <col min="5" max="5" width="10.75390625" style="2" customWidth="1"/>
    <col min="6" max="6" width="10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55</v>
      </c>
      <c r="B1" s="33"/>
    </row>
    <row r="2" ht="12.75">
      <c r="A2" s="2" t="s">
        <v>71</v>
      </c>
    </row>
    <row r="3" spans="6:8" ht="13.5" thickBot="1">
      <c r="F3" s="3"/>
      <c r="H3" s="24"/>
    </row>
    <row r="4" spans="1:8" ht="12.75">
      <c r="A4" s="4"/>
      <c r="B4" s="36">
        <v>2008</v>
      </c>
      <c r="C4" s="152">
        <v>2010</v>
      </c>
      <c r="D4" s="153"/>
      <c r="E4" s="153"/>
      <c r="F4" s="153"/>
      <c r="G4" s="153"/>
      <c r="H4" s="154"/>
    </row>
    <row r="5" spans="1:8" ht="12.75">
      <c r="A5" s="5" t="s">
        <v>1</v>
      </c>
      <c r="B5" s="35" t="s">
        <v>2</v>
      </c>
      <c r="C5" s="97" t="s">
        <v>63</v>
      </c>
      <c r="D5" s="85"/>
      <c r="E5" s="27"/>
      <c r="F5" s="25" t="s">
        <v>2</v>
      </c>
      <c r="G5" s="25" t="s">
        <v>3</v>
      </c>
      <c r="H5" s="98" t="s">
        <v>3</v>
      </c>
    </row>
    <row r="6" spans="1:8" ht="13.5" thickBot="1">
      <c r="A6" s="7"/>
      <c r="B6" s="28" t="s">
        <v>66</v>
      </c>
      <c r="C6" s="99" t="s">
        <v>4</v>
      </c>
      <c r="D6" s="26" t="s">
        <v>64</v>
      </c>
      <c r="E6" s="96" t="s">
        <v>68</v>
      </c>
      <c r="F6" s="28" t="s">
        <v>66</v>
      </c>
      <c r="G6" s="26" t="s">
        <v>70</v>
      </c>
      <c r="H6" s="100" t="s">
        <v>69</v>
      </c>
    </row>
    <row r="7" spans="1:8" ht="13.5" thickBot="1">
      <c r="A7" s="7" t="s">
        <v>5</v>
      </c>
      <c r="B7" s="28">
        <v>1</v>
      </c>
      <c r="C7" s="99">
        <v>2</v>
      </c>
      <c r="D7" s="8">
        <v>3</v>
      </c>
      <c r="E7" s="8">
        <v>4</v>
      </c>
      <c r="F7" s="8">
        <v>5</v>
      </c>
      <c r="G7" s="28" t="s">
        <v>65</v>
      </c>
      <c r="H7" s="19" t="s">
        <v>67</v>
      </c>
    </row>
    <row r="8" spans="1:8" ht="12.75">
      <c r="A8" s="9" t="s">
        <v>6</v>
      </c>
      <c r="B8" s="10">
        <f>SUM(B10:B28)</f>
        <v>2456412</v>
      </c>
      <c r="C8" s="101">
        <f>SUM(C10:C28)</f>
        <v>944252</v>
      </c>
      <c r="D8" s="10">
        <f>SUM(D10:D28)</f>
        <v>916375</v>
      </c>
      <c r="E8" s="10">
        <f>SUM(E10:E28)</f>
        <v>928767</v>
      </c>
      <c r="F8" s="10">
        <f>SUM(F10:F28)</f>
        <v>1400126</v>
      </c>
      <c r="G8" s="143">
        <f>F8/D8*100</f>
        <v>152.78963306506617</v>
      </c>
      <c r="H8" s="92">
        <f>F8/E8*100</f>
        <v>150.75104950972633</v>
      </c>
    </row>
    <row r="9" spans="1:8" ht="12.75">
      <c r="A9" s="11" t="s">
        <v>7</v>
      </c>
      <c r="B9" s="12"/>
      <c r="C9" s="47"/>
      <c r="D9" s="12"/>
      <c r="E9" s="12"/>
      <c r="F9" s="12"/>
      <c r="G9" s="103"/>
      <c r="H9" s="94"/>
    </row>
    <row r="10" spans="1:8" ht="12.75">
      <c r="A10" s="11" t="s">
        <v>60</v>
      </c>
      <c r="B10" s="12">
        <f>SUM(MF:R!B10)</f>
        <v>0</v>
      </c>
      <c r="C10" s="47">
        <f>SUM(MF:R!C10)</f>
        <v>165505</v>
      </c>
      <c r="D10" s="12">
        <f>SUM(MF:R!D10)</f>
        <v>165505</v>
      </c>
      <c r="E10" s="12">
        <f>SUM(MF:R!E10)</f>
        <v>165505</v>
      </c>
      <c r="F10" s="12">
        <f>SUM(MF:R!F10)</f>
        <v>174220</v>
      </c>
      <c r="G10" s="103">
        <f aca="true" t="shared" si="0" ref="G10:G27">F10/D10*100</f>
        <v>105.26570194253951</v>
      </c>
      <c r="H10" s="94">
        <f aca="true" t="shared" si="1" ref="H10:H28">F10/E10*100</f>
        <v>105.26570194253951</v>
      </c>
    </row>
    <row r="11" spans="1:8" ht="12.75">
      <c r="A11" s="11" t="s">
        <v>8</v>
      </c>
      <c r="B11" s="12">
        <f>SUM(MF:R!B11)</f>
        <v>0</v>
      </c>
      <c r="C11" s="12">
        <f>SUM(MF:R!C11)</f>
        <v>0</v>
      </c>
      <c r="D11" s="12">
        <f>SUM(MF:R!D11)</f>
        <v>0</v>
      </c>
      <c r="E11" s="12">
        <f>SUM(MF:R!E11)</f>
        <v>0</v>
      </c>
      <c r="F11" s="12">
        <f>SUM(MF:R!F11)</f>
        <v>0</v>
      </c>
      <c r="G11" s="103"/>
      <c r="H11" s="94"/>
    </row>
    <row r="12" spans="1:8" ht="12.75">
      <c r="A12" s="11" t="s">
        <v>9</v>
      </c>
      <c r="B12" s="12">
        <f>SUM(MF:R!B12)</f>
        <v>0</v>
      </c>
      <c r="C12" s="12">
        <f>SUM(MF:R!C12)</f>
        <v>0</v>
      </c>
      <c r="D12" s="12">
        <f>SUM(MF:R!D12)</f>
        <v>0</v>
      </c>
      <c r="E12" s="12">
        <f>SUM(MF:R!E12)</f>
        <v>0</v>
      </c>
      <c r="F12" s="12">
        <f>SUM(MF:R!F12)</f>
        <v>0</v>
      </c>
      <c r="G12" s="103"/>
      <c r="H12" s="94"/>
    </row>
    <row r="13" spans="1:8" ht="12.75">
      <c r="A13" s="11" t="s">
        <v>10</v>
      </c>
      <c r="B13" s="12">
        <f>SUM(MF:R!B13)</f>
        <v>7966</v>
      </c>
      <c r="C13" s="12">
        <f>SUM(MF:R!C13)</f>
        <v>7579</v>
      </c>
      <c r="D13" s="12">
        <f>SUM(MF:R!D13)</f>
        <v>7579</v>
      </c>
      <c r="E13" s="12">
        <f>SUM(MF:R!E13)</f>
        <v>7579</v>
      </c>
      <c r="F13" s="12">
        <f>SUM(MF:R!F13)</f>
        <v>6620</v>
      </c>
      <c r="G13" s="103">
        <f t="shared" si="0"/>
        <v>87.34661564850245</v>
      </c>
      <c r="H13" s="94">
        <f t="shared" si="1"/>
        <v>87.34661564850245</v>
      </c>
    </row>
    <row r="14" spans="1:8" ht="12.75">
      <c r="A14" s="43" t="s">
        <v>56</v>
      </c>
      <c r="B14" s="12"/>
      <c r="C14" s="12"/>
      <c r="D14" s="12">
        <f>SUM(MF:R!D14)</f>
        <v>0</v>
      </c>
      <c r="E14" s="12"/>
      <c r="F14" s="45">
        <v>1126</v>
      </c>
      <c r="G14" s="103"/>
      <c r="H14" s="94"/>
    </row>
    <row r="15" spans="1:8" ht="12.75">
      <c r="A15" s="11" t="s">
        <v>11</v>
      </c>
      <c r="B15" s="12">
        <f>SUM(MF:R!B15)</f>
        <v>19964</v>
      </c>
      <c r="C15" s="12">
        <f>SUM(MF:R!C15)</f>
        <v>15816</v>
      </c>
      <c r="D15" s="12">
        <f>SUM(MF:R!D15)</f>
        <v>15816</v>
      </c>
      <c r="E15" s="12">
        <f>SUM(MF:R!E15)</f>
        <v>15816</v>
      </c>
      <c r="F15" s="12">
        <f>SUM(MF:R!F15)</f>
        <v>18422</v>
      </c>
      <c r="G15" s="103">
        <f t="shared" si="0"/>
        <v>116.47698533131006</v>
      </c>
      <c r="H15" s="94">
        <f t="shared" si="1"/>
        <v>116.47698533131006</v>
      </c>
    </row>
    <row r="16" spans="1:8" ht="12.75">
      <c r="A16" s="11" t="s">
        <v>12</v>
      </c>
      <c r="B16" s="12">
        <f>SUM(MF:R!B16)</f>
        <v>135814</v>
      </c>
      <c r="C16" s="12">
        <f>SUM(MF:R!C16)</f>
        <v>54300</v>
      </c>
      <c r="D16" s="12">
        <f>SUM(MF:R!D16)</f>
        <v>54300</v>
      </c>
      <c r="E16" s="12">
        <f>SUM(MF:R!E16)</f>
        <v>54300</v>
      </c>
      <c r="F16" s="12">
        <f>SUM(MF:R!F16)</f>
        <v>70710</v>
      </c>
      <c r="G16" s="103">
        <f t="shared" si="0"/>
        <v>130.22099447513813</v>
      </c>
      <c r="H16" s="94">
        <f t="shared" si="1"/>
        <v>130.22099447513813</v>
      </c>
    </row>
    <row r="17" spans="1:8" ht="12.75">
      <c r="A17" s="11" t="s">
        <v>13</v>
      </c>
      <c r="B17" s="20">
        <f>SUM(MF:R!B17)</f>
        <v>15830</v>
      </c>
      <c r="C17" s="12">
        <f>SUM(MF:R!C17)</f>
        <v>6882</v>
      </c>
      <c r="D17" s="12">
        <f>SUM(MF:R!D17)</f>
        <v>6882</v>
      </c>
      <c r="E17" s="12">
        <f>SUM(MF:R!E17)</f>
        <v>6882</v>
      </c>
      <c r="F17" s="12">
        <f>SUM(MF:R!F17)</f>
        <v>5550</v>
      </c>
      <c r="G17" s="103">
        <f t="shared" si="0"/>
        <v>80.64516129032258</v>
      </c>
      <c r="H17" s="41">
        <f t="shared" si="1"/>
        <v>80.64516129032258</v>
      </c>
    </row>
    <row r="18" spans="1:8" ht="12.75">
      <c r="A18" s="11" t="s">
        <v>14</v>
      </c>
      <c r="B18" s="20">
        <f>SUM(MF:R!B18)</f>
        <v>4</v>
      </c>
      <c r="C18" s="12">
        <f>SUM(MF:R!C18)</f>
        <v>0</v>
      </c>
      <c r="D18" s="12">
        <f>SUM(MF:R!D18)</f>
        <v>0</v>
      </c>
      <c r="E18" s="12">
        <f>SUM(MF:R!E18)</f>
        <v>0</v>
      </c>
      <c r="F18" s="12">
        <f>SUM(MF:R!F18)</f>
        <v>0</v>
      </c>
      <c r="G18" s="103" t="e">
        <f t="shared" si="0"/>
        <v>#DIV/0!</v>
      </c>
      <c r="H18" s="41" t="e">
        <f t="shared" si="1"/>
        <v>#DIV/0!</v>
      </c>
    </row>
    <row r="19" spans="1:8" ht="12.75">
      <c r="A19" s="11" t="s">
        <v>15</v>
      </c>
      <c r="B19" s="12">
        <f>SUM(MF:R!B19)</f>
        <v>210109</v>
      </c>
      <c r="C19" s="12">
        <f>SUM(MF:R!C19)</f>
        <v>540</v>
      </c>
      <c r="D19" s="12">
        <f>SUM(MF:R!D19)</f>
        <v>540</v>
      </c>
      <c r="E19" s="12">
        <f>SUM(MF:R!E19)</f>
        <v>1079</v>
      </c>
      <c r="F19" s="12">
        <f>SUM(MF:R!F19)</f>
        <v>5675</v>
      </c>
      <c r="G19" s="103">
        <f t="shared" si="0"/>
        <v>1050.9259259259259</v>
      </c>
      <c r="H19" s="41">
        <f t="shared" si="1"/>
        <v>525.9499536607971</v>
      </c>
    </row>
    <row r="20" spans="1:8" ht="12.75">
      <c r="A20" s="11" t="s">
        <v>62</v>
      </c>
      <c r="B20" s="12">
        <f>SUM(MF:R!B20)</f>
        <v>0</v>
      </c>
      <c r="C20" s="12">
        <f>SUM(MF:R!C20)</f>
        <v>0</v>
      </c>
      <c r="D20" s="12">
        <f>SUM(MF:R!D20)</f>
        <v>0</v>
      </c>
      <c r="E20" s="12">
        <f>SUM(MF:R!E20)</f>
        <v>0</v>
      </c>
      <c r="F20" s="12">
        <f>SUM(MF:R!F20)</f>
        <v>0</v>
      </c>
      <c r="G20" s="103"/>
      <c r="H20" s="41"/>
    </row>
    <row r="21" spans="1:8" ht="12.75">
      <c r="A21" s="44" t="s">
        <v>57</v>
      </c>
      <c r="B21" s="12">
        <f>SUM(MF:R!B21)</f>
        <v>1300778</v>
      </c>
      <c r="C21" s="12">
        <f>SUM(MF:R!C21)</f>
        <v>401850</v>
      </c>
      <c r="D21" s="12">
        <f>SUM(MF:R!D21)</f>
        <v>401850</v>
      </c>
      <c r="E21" s="12">
        <f>SUM(MF:R!E21)</f>
        <v>401850</v>
      </c>
      <c r="F21" s="12">
        <f>SUM(MF:R!F21)</f>
        <v>758757</v>
      </c>
      <c r="G21" s="103">
        <f t="shared" si="0"/>
        <v>188.815976110489</v>
      </c>
      <c r="H21" s="41">
        <f t="shared" si="1"/>
        <v>188.815976110489</v>
      </c>
    </row>
    <row r="22" spans="1:8" ht="12.75">
      <c r="A22" s="11" t="s">
        <v>16</v>
      </c>
      <c r="B22" s="12">
        <f>SUM(MF:R!B22)</f>
        <v>119182</v>
      </c>
      <c r="C22" s="12">
        <f>SUM(MF:R!C22)</f>
        <v>6700</v>
      </c>
      <c r="D22" s="12">
        <f>SUM(MF:R!D22)</f>
        <v>6700</v>
      </c>
      <c r="E22" s="12">
        <f>SUM(MF:R!E22)</f>
        <v>6700</v>
      </c>
      <c r="F22" s="12">
        <f>SUM(MF:R!F22)</f>
        <v>247682</v>
      </c>
      <c r="G22" s="103"/>
      <c r="H22" s="41"/>
    </row>
    <row r="23" spans="1:8" ht="12.75">
      <c r="A23" s="44" t="s">
        <v>58</v>
      </c>
      <c r="B23" s="12">
        <f>SUM(MF:R!B23)</f>
        <v>0</v>
      </c>
      <c r="C23" s="12">
        <f>SUM(MF:R!C23)</f>
        <v>0</v>
      </c>
      <c r="D23" s="12">
        <f>SUM(MF:R!D23)</f>
        <v>0</v>
      </c>
      <c r="E23" s="12">
        <f>SUM(MF:R!E23)</f>
        <v>0</v>
      </c>
      <c r="F23" s="12">
        <f>SUM(MF:R!F23)</f>
        <v>0</v>
      </c>
      <c r="G23" s="103"/>
      <c r="H23" s="41"/>
    </row>
    <row r="24" spans="1:8" ht="12.75" customHeight="1">
      <c r="A24" s="11" t="s">
        <v>17</v>
      </c>
      <c r="B24" s="12">
        <f>SUM(MF:R!B24)</f>
        <v>0</v>
      </c>
      <c r="C24" s="12">
        <f>SUM(MF:R!C24)</f>
        <v>0</v>
      </c>
      <c r="D24" s="12">
        <f>SUM(MF:R!D24)</f>
        <v>0</v>
      </c>
      <c r="E24" s="12">
        <f>SUM(MF:R!E24)</f>
        <v>0</v>
      </c>
      <c r="F24" s="12">
        <f>SUM(MF:R!F24)</f>
        <v>0</v>
      </c>
      <c r="G24" s="103"/>
      <c r="H24" s="41"/>
    </row>
    <row r="25" spans="1:8" ht="12.75" customHeight="1">
      <c r="A25" s="11" t="s">
        <v>72</v>
      </c>
      <c r="B25" s="12"/>
      <c r="C25" s="12">
        <f>SUM(MF:R!C25)</f>
        <v>119111</v>
      </c>
      <c r="D25" s="12">
        <f>SUM(MF:R!D25)</f>
        <v>91234</v>
      </c>
      <c r="E25" s="12">
        <f>SUM(MF:R!E25)</f>
        <v>91234</v>
      </c>
      <c r="F25" s="12">
        <f>SUM(MF:R!F25)</f>
        <v>78151</v>
      </c>
      <c r="G25" s="103">
        <f>F25/D25*100</f>
        <v>85.65995133393253</v>
      </c>
      <c r="H25" s="41">
        <f>F25/E25*100</f>
        <v>85.65995133393253</v>
      </c>
    </row>
    <row r="26" spans="1:8" ht="12.75" customHeight="1">
      <c r="A26" s="11" t="s">
        <v>59</v>
      </c>
      <c r="B26" s="12">
        <f>SUM(MF:R!B26)</f>
        <v>6936</v>
      </c>
      <c r="C26" s="12">
        <f>SUM(MF:R!C26)</f>
        <v>94229</v>
      </c>
      <c r="D26" s="12">
        <f>SUM(MF:R!D26)</f>
        <v>94229</v>
      </c>
      <c r="E26" s="12">
        <f>SUM(MF:R!E26)</f>
        <v>94229</v>
      </c>
      <c r="F26" s="12">
        <f>SUM(MF:R!F26)</f>
        <v>20461</v>
      </c>
      <c r="G26" s="103">
        <f t="shared" si="0"/>
        <v>21.71412197943308</v>
      </c>
      <c r="H26" s="41">
        <f t="shared" si="1"/>
        <v>21.71412197943308</v>
      </c>
    </row>
    <row r="27" spans="1:8" ht="12.75" customHeight="1">
      <c r="A27" s="64" t="s">
        <v>61</v>
      </c>
      <c r="B27" s="65">
        <f>SUM(MF:R!B27)</f>
        <v>0</v>
      </c>
      <c r="C27" s="65">
        <f>SUM(MF:R!C27)</f>
        <v>71740</v>
      </c>
      <c r="D27" s="65">
        <f>SUM(MF:R!D27)</f>
        <v>71740</v>
      </c>
      <c r="E27" s="65">
        <f>SUM(MF:R!E27)</f>
        <v>71740</v>
      </c>
      <c r="F27" s="65">
        <f>SUM(MF:R!F27)</f>
        <v>899</v>
      </c>
      <c r="G27" s="104">
        <f t="shared" si="0"/>
        <v>1.2531363256202954</v>
      </c>
      <c r="H27" s="66">
        <f t="shared" si="1"/>
        <v>1.2531363256202954</v>
      </c>
    </row>
    <row r="28" spans="1:8" ht="13.5" thickBot="1">
      <c r="A28" s="7" t="s">
        <v>18</v>
      </c>
      <c r="B28" s="13">
        <f>SUM(MF:R!B28)</f>
        <v>639829</v>
      </c>
      <c r="C28" s="13">
        <f>SUM(MF:R!C28)</f>
        <v>0</v>
      </c>
      <c r="D28" s="13">
        <f>SUM(MF:R!D28)</f>
        <v>0</v>
      </c>
      <c r="E28" s="13">
        <f>SUM(MF:R!E28)</f>
        <v>11853</v>
      </c>
      <c r="F28" s="13">
        <f>SUM(MF:R!F28)</f>
        <v>11853</v>
      </c>
      <c r="G28" s="105"/>
      <c r="H28" s="60">
        <f t="shared" si="1"/>
        <v>100</v>
      </c>
    </row>
    <row r="29" spans="1:8" ht="12.75">
      <c r="A29" s="5"/>
      <c r="B29" s="14"/>
      <c r="C29" s="14"/>
      <c r="D29" s="14">
        <f>SUM(MF:R!D29)</f>
        <v>0</v>
      </c>
      <c r="E29" s="14"/>
      <c r="F29" s="14"/>
      <c r="G29" s="31"/>
      <c r="H29" s="42"/>
    </row>
    <row r="30" spans="1:8" ht="12.75">
      <c r="A30" s="9" t="s">
        <v>19</v>
      </c>
      <c r="B30" s="10">
        <f>B32+B38</f>
        <v>2911332</v>
      </c>
      <c r="C30" s="10">
        <f>C32+C38</f>
        <v>3594121</v>
      </c>
      <c r="D30" s="10">
        <f>SUM(MF:R!D30)</f>
        <v>3988939</v>
      </c>
      <c r="E30" s="10">
        <f>E32+E38</f>
        <v>4130184.98907</v>
      </c>
      <c r="F30" s="10">
        <f>F32+F38</f>
        <v>3322409</v>
      </c>
      <c r="G30" s="111">
        <f>F30/D30*100</f>
        <v>83.29054417728624</v>
      </c>
      <c r="H30" s="112">
        <f>F30/E30*100</f>
        <v>80.4421353714743</v>
      </c>
    </row>
    <row r="31" spans="1:8" ht="12.75">
      <c r="A31" s="11" t="s">
        <v>20</v>
      </c>
      <c r="B31" s="12"/>
      <c r="C31" s="12"/>
      <c r="D31" s="12">
        <f>SUM(MF:R!D31)</f>
        <v>0</v>
      </c>
      <c r="E31" s="12"/>
      <c r="F31" s="12"/>
      <c r="G31" s="113"/>
      <c r="H31" s="114"/>
    </row>
    <row r="32" spans="1:8" ht="12.75">
      <c r="A32" s="9" t="s">
        <v>21</v>
      </c>
      <c r="B32" s="10">
        <f>B34+B35+B36</f>
        <v>557396</v>
      </c>
      <c r="C32" s="40">
        <f>C34+C35+C36</f>
        <v>1178708</v>
      </c>
      <c r="D32" s="40">
        <f>SUM(MF:R!D32)</f>
        <v>1287966</v>
      </c>
      <c r="E32" s="40">
        <f>E34+E35+E36</f>
        <v>1370046.33861</v>
      </c>
      <c r="F32" s="40">
        <f>F34+F35+F36</f>
        <v>918755</v>
      </c>
      <c r="G32" s="111">
        <f>F32/D32*100</f>
        <v>71.33379297279586</v>
      </c>
      <c r="H32" s="112">
        <f>F32/E32*100</f>
        <v>67.06014053014702</v>
      </c>
    </row>
    <row r="33" spans="1:8" ht="12.75">
      <c r="A33" s="11" t="s">
        <v>22</v>
      </c>
      <c r="B33" s="12"/>
      <c r="C33" s="12"/>
      <c r="D33" s="12">
        <f>SUM(MF:R!D33)</f>
        <v>0</v>
      </c>
      <c r="E33" s="12"/>
      <c r="F33" s="12"/>
      <c r="G33" s="113"/>
      <c r="H33" s="114"/>
    </row>
    <row r="34" spans="1:8" ht="12.75">
      <c r="A34" s="11" t="s">
        <v>23</v>
      </c>
      <c r="B34" s="12">
        <f>SUM(MF:R!B34)</f>
        <v>416405</v>
      </c>
      <c r="C34" s="12">
        <f>SUM(MF:R!C34)</f>
        <v>1002389</v>
      </c>
      <c r="D34" s="12">
        <f>SUM(MF:R!D34)</f>
        <v>1135184</v>
      </c>
      <c r="E34" s="12">
        <f>SUM(MF:R!E34)</f>
        <v>1187660.94861</v>
      </c>
      <c r="F34" s="12">
        <f>SUM(MF:R!F34)</f>
        <v>772047</v>
      </c>
      <c r="G34" s="113">
        <f>F34/D34*100</f>
        <v>68.0107365854346</v>
      </c>
      <c r="H34" s="114">
        <f>F34/E34*100</f>
        <v>65.00567362289539</v>
      </c>
    </row>
    <row r="35" spans="1:8" ht="12.75">
      <c r="A35" s="11" t="s">
        <v>24</v>
      </c>
      <c r="B35" s="12">
        <f>SUM(MF:R!B35)</f>
        <v>140991</v>
      </c>
      <c r="C35" s="12">
        <f>SUM(MF:R!C35)</f>
        <v>176319</v>
      </c>
      <c r="D35" s="12">
        <f>SUM(MF:R!D35)</f>
        <v>152782</v>
      </c>
      <c r="E35" s="12">
        <f>SUM(MF:R!E35)</f>
        <v>182385.39</v>
      </c>
      <c r="F35" s="12">
        <f>SUM(MF:R!F35)</f>
        <v>146708</v>
      </c>
      <c r="G35" s="113">
        <f>F35/D35*100</f>
        <v>96.02440078019661</v>
      </c>
      <c r="H35" s="114">
        <f>F35/E35*100</f>
        <v>80.43846055871032</v>
      </c>
    </row>
    <row r="36" spans="1:8" ht="12.75">
      <c r="A36" s="15" t="s">
        <v>25</v>
      </c>
      <c r="B36" s="16">
        <f>SUM(MF:R!B36)</f>
        <v>0</v>
      </c>
      <c r="C36" s="16">
        <f>SUM(MF:R!C36)</f>
        <v>0</v>
      </c>
      <c r="D36" s="16">
        <f>SUM(MF:R!D36)</f>
        <v>0</v>
      </c>
      <c r="E36" s="16">
        <f>SUM(MF:R!E36)</f>
        <v>0</v>
      </c>
      <c r="F36" s="16">
        <f>SUM(MF:R!F36)</f>
        <v>0</v>
      </c>
      <c r="G36" s="115"/>
      <c r="H36" s="116"/>
    </row>
    <row r="37" spans="1:8" ht="12.75">
      <c r="A37" s="5"/>
      <c r="B37" s="14"/>
      <c r="C37" s="14"/>
      <c r="D37" s="14">
        <f>SUM(MF:R!D37)</f>
        <v>0</v>
      </c>
      <c r="E37" s="14"/>
      <c r="F37" s="14"/>
      <c r="G37" s="117"/>
      <c r="H37" s="118"/>
    </row>
    <row r="38" spans="1:8" ht="12.75">
      <c r="A38" s="9" t="s">
        <v>26</v>
      </c>
      <c r="B38" s="10">
        <f>B40+B43+B44+B45+B46</f>
        <v>2353936</v>
      </c>
      <c r="C38" s="10">
        <f>C40+C43+C44+C45+C46</f>
        <v>2415413</v>
      </c>
      <c r="D38" s="10">
        <f>SUM(MF:R!D38)</f>
        <v>2700973</v>
      </c>
      <c r="E38" s="10">
        <f>E40+E43+E44+E45+E46</f>
        <v>2760138.65046</v>
      </c>
      <c r="F38" s="10">
        <f>F40+F43+F44+F45+F46</f>
        <v>2403654</v>
      </c>
      <c r="G38" s="111">
        <f>F38/D38*100</f>
        <v>88.99215208741442</v>
      </c>
      <c r="H38" s="112">
        <f>F38/E38*100</f>
        <v>87.0845382930097</v>
      </c>
    </row>
    <row r="39" spans="1:8" ht="12.75">
      <c r="A39" s="11" t="s">
        <v>22</v>
      </c>
      <c r="B39" s="12"/>
      <c r="C39" s="12"/>
      <c r="D39" s="12">
        <f>SUM(MF:R!D39)</f>
        <v>0</v>
      </c>
      <c r="E39" s="12"/>
      <c r="F39" s="12"/>
      <c r="G39" s="113"/>
      <c r="H39" s="114"/>
    </row>
    <row r="40" spans="1:8" ht="12.75">
      <c r="A40" s="17" t="s">
        <v>27</v>
      </c>
      <c r="B40" s="18">
        <f>B41+B42</f>
        <v>649002</v>
      </c>
      <c r="C40" s="18">
        <f>C41+C42</f>
        <v>662911</v>
      </c>
      <c r="D40" s="18">
        <f>SUM(MF:R!D40)</f>
        <v>669559</v>
      </c>
      <c r="E40" s="18">
        <f>E41+E42</f>
        <v>688757</v>
      </c>
      <c r="F40" s="18">
        <f>F41+F42</f>
        <v>674453</v>
      </c>
      <c r="G40" s="119">
        <f>F40/D40*100</f>
        <v>100.73092886511867</v>
      </c>
      <c r="H40" s="120">
        <f>F40/E40*100</f>
        <v>97.92321529944523</v>
      </c>
    </row>
    <row r="41" spans="1:8" ht="12.75">
      <c r="A41" s="11" t="s">
        <v>28</v>
      </c>
      <c r="B41" s="12">
        <f>SUM(MF:R!B41)</f>
        <v>630127</v>
      </c>
      <c r="C41" s="12">
        <f>SUM(MF:R!C41)</f>
        <v>644183</v>
      </c>
      <c r="D41" s="12">
        <f>SUM(MF:R!D41)</f>
        <v>641890</v>
      </c>
      <c r="E41" s="12">
        <f>SUM(MF:R!E41)</f>
        <v>660920</v>
      </c>
      <c r="F41" s="12">
        <f>SUM(MF:R!F41)</f>
        <v>648681</v>
      </c>
      <c r="G41" s="113">
        <f>F41/D41*100</f>
        <v>101.05796943401518</v>
      </c>
      <c r="H41" s="114">
        <f>F41/E41*100</f>
        <v>98.148187375174</v>
      </c>
    </row>
    <row r="42" spans="1:8" ht="12.75">
      <c r="A42" s="39" t="s">
        <v>29</v>
      </c>
      <c r="B42" s="12">
        <f>SUM(MF:R!B42)</f>
        <v>18875</v>
      </c>
      <c r="C42" s="12">
        <f>SUM(MF:R!C42)</f>
        <v>18728</v>
      </c>
      <c r="D42" s="12">
        <f>SUM(MF:R!D42)</f>
        <v>27669</v>
      </c>
      <c r="E42" s="12">
        <f>SUM(MF:R!E42)</f>
        <v>27837</v>
      </c>
      <c r="F42" s="12">
        <f>SUM(MF:R!F42)</f>
        <v>25772</v>
      </c>
      <c r="G42" s="113">
        <f>F42/D42*100</f>
        <v>93.1439517149156</v>
      </c>
      <c r="H42" s="114">
        <f>F42/E42*100</f>
        <v>92.58181556920646</v>
      </c>
    </row>
    <row r="43" spans="1:10" ht="12.75">
      <c r="A43" s="21" t="s">
        <v>30</v>
      </c>
      <c r="B43" s="22">
        <f>SUM(MF:R!B43)</f>
        <v>224360</v>
      </c>
      <c r="C43" s="22">
        <f>SUM(MF:R!C43)</f>
        <v>225390</v>
      </c>
      <c r="D43" s="22">
        <f>SUM(MF:R!D43)</f>
        <v>222303</v>
      </c>
      <c r="E43" s="22">
        <f>SUM(MF:R!E43)</f>
        <v>228815</v>
      </c>
      <c r="F43" s="22">
        <f>SUM(MF:R!F43)</f>
        <v>223186</v>
      </c>
      <c r="G43" s="119">
        <f>F43/D43*100</f>
        <v>100.39720561575866</v>
      </c>
      <c r="H43" s="120">
        <f>F43/E43*100</f>
        <v>97.53993400782292</v>
      </c>
      <c r="J43" s="2" t="s">
        <v>53</v>
      </c>
    </row>
    <row r="44" spans="1:8" ht="12.75">
      <c r="A44" s="21" t="s">
        <v>31</v>
      </c>
      <c r="B44" s="22">
        <f>SUM(MF:R!B44)</f>
        <v>12613</v>
      </c>
      <c r="C44" s="22">
        <f>SUM(MF:R!C44)</f>
        <v>12884</v>
      </c>
      <c r="D44" s="22">
        <f>SUM(MF:R!D44)</f>
        <v>12939</v>
      </c>
      <c r="E44" s="22">
        <f>SUM(MF:R!E44)</f>
        <v>13320.56</v>
      </c>
      <c r="F44" s="22">
        <f>SUM(MF:R!F44)</f>
        <v>13015</v>
      </c>
      <c r="G44" s="119">
        <f>F44/D44*100</f>
        <v>100.58737151248165</v>
      </c>
      <c r="H44" s="120">
        <f>F44/E44*100</f>
        <v>97.7061024461434</v>
      </c>
    </row>
    <row r="45" spans="1:8" ht="12.75">
      <c r="A45" s="17" t="s">
        <v>32</v>
      </c>
      <c r="B45" s="32">
        <f>SUM(MF:R!B45)</f>
        <v>0</v>
      </c>
      <c r="C45" s="18">
        <f>SUM(MF:R!C45)</f>
        <v>0</v>
      </c>
      <c r="D45" s="18">
        <f>SUM(MF:R!D45)</f>
        <v>0</v>
      </c>
      <c r="E45" s="22">
        <f>SUM(MF:R!E45)</f>
        <v>0</v>
      </c>
      <c r="F45" s="22">
        <f>SUM(MF:R!F45)</f>
        <v>0</v>
      </c>
      <c r="G45" s="113"/>
      <c r="H45" s="114"/>
    </row>
    <row r="46" spans="1:8" ht="12.75">
      <c r="A46" s="17" t="s">
        <v>33</v>
      </c>
      <c r="B46" s="18">
        <f>B48+B49+B50+B52+B56</f>
        <v>1467961</v>
      </c>
      <c r="C46" s="18">
        <f>C48+C49+C50+C52+C56</f>
        <v>1514228</v>
      </c>
      <c r="D46" s="18">
        <f>SUM(MF:R!D46)</f>
        <v>1796172</v>
      </c>
      <c r="E46" s="18">
        <f>E48+E49+E50+E52+E56</f>
        <v>1829246.09046</v>
      </c>
      <c r="F46" s="18">
        <f>F48+F49+F50+F52+F56</f>
        <v>1493000</v>
      </c>
      <c r="G46" s="119">
        <f>F46/D46*100</f>
        <v>83.12121556287482</v>
      </c>
      <c r="H46" s="120">
        <f>F46/E46*100</f>
        <v>81.6183239524954</v>
      </c>
    </row>
    <row r="47" spans="1:8" ht="12.75">
      <c r="A47" s="11" t="s">
        <v>34</v>
      </c>
      <c r="B47" s="12"/>
      <c r="C47" s="12"/>
      <c r="D47" s="12">
        <f>SUM(MF:R!D47)</f>
        <v>0</v>
      </c>
      <c r="E47" s="12"/>
      <c r="F47" s="12"/>
      <c r="G47" s="113"/>
      <c r="H47" s="114"/>
    </row>
    <row r="48" spans="1:8" ht="12.75">
      <c r="A48" s="11" t="s">
        <v>35</v>
      </c>
      <c r="B48" s="12">
        <f>SUM(MF:R!B48)</f>
        <v>33134</v>
      </c>
      <c r="C48" s="12">
        <f>SUM(MF:R!C48)</f>
        <v>63498</v>
      </c>
      <c r="D48" s="12">
        <f>SUM(MF:R!D48)</f>
        <v>27956</v>
      </c>
      <c r="E48" s="12">
        <f>SUM(MF:R!E48)</f>
        <v>48786.758</v>
      </c>
      <c r="F48" s="12">
        <f>SUM(MF:R!F48)</f>
        <v>45230</v>
      </c>
      <c r="G48" s="113">
        <f aca="true" t="shared" si="2" ref="G48:G59">F48/D48*100</f>
        <v>161.78995564458432</v>
      </c>
      <c r="H48" s="114">
        <f aca="true" t="shared" si="3" ref="H48:H59">F48/E48*100</f>
        <v>92.70958320288469</v>
      </c>
    </row>
    <row r="49" spans="1:8" ht="12.75">
      <c r="A49" s="11" t="s">
        <v>36</v>
      </c>
      <c r="B49" s="12">
        <f>SUM(MF:R!B49)</f>
        <v>35799</v>
      </c>
      <c r="C49" s="12">
        <f>SUM(MF:R!C49)</f>
        <v>78351</v>
      </c>
      <c r="D49" s="12">
        <f>SUM(MF:R!D49)</f>
        <v>72173</v>
      </c>
      <c r="E49" s="12">
        <f>SUM(MF:R!E49)</f>
        <v>42598.47</v>
      </c>
      <c r="F49" s="12">
        <f>SUM(MF:R!F49)</f>
        <v>41722</v>
      </c>
      <c r="G49" s="113">
        <f t="shared" si="2"/>
        <v>57.80832167153922</v>
      </c>
      <c r="H49" s="114">
        <f t="shared" si="3"/>
        <v>97.94248478877293</v>
      </c>
    </row>
    <row r="50" spans="1:8" ht="12.75">
      <c r="A50" s="11" t="s">
        <v>37</v>
      </c>
      <c r="B50" s="12">
        <f>SUM(MF:R!B50)</f>
        <v>1034303</v>
      </c>
      <c r="C50" s="12">
        <f>SUM(MF:R!C50)</f>
        <v>1040425</v>
      </c>
      <c r="D50" s="12">
        <f>SUM(MF:R!D50)</f>
        <v>1333906</v>
      </c>
      <c r="E50" s="12">
        <f>SUM(MF:R!E50)</f>
        <v>1412191.633</v>
      </c>
      <c r="F50" s="12">
        <f>SUM(MF:R!F50)</f>
        <v>1208001</v>
      </c>
      <c r="G50" s="113">
        <f t="shared" si="2"/>
        <v>90.56117897363083</v>
      </c>
      <c r="H50" s="114">
        <f t="shared" si="3"/>
        <v>85.54086936726668</v>
      </c>
    </row>
    <row r="51" spans="1:8" ht="12.75">
      <c r="A51" s="11" t="s">
        <v>38</v>
      </c>
      <c r="B51" s="12">
        <f>SUM(MF:R!B51)</f>
        <v>8932</v>
      </c>
      <c r="C51" s="12">
        <f>SUM(MF:R!C51)</f>
        <v>11778</v>
      </c>
      <c r="D51" s="12">
        <f>SUM(MF:R!D51)</f>
        <v>126255</v>
      </c>
      <c r="E51" s="12">
        <f>SUM(MF:R!E51)</f>
        <v>126255.6</v>
      </c>
      <c r="F51" s="12">
        <f>SUM(MF:R!F51)</f>
        <v>125121</v>
      </c>
      <c r="G51" s="113">
        <f t="shared" si="2"/>
        <v>99.10181774979209</v>
      </c>
      <c r="H51" s="114">
        <f t="shared" si="3"/>
        <v>99.10134679174625</v>
      </c>
    </row>
    <row r="52" spans="1:8" ht="12.75">
      <c r="A52" s="11" t="s">
        <v>39</v>
      </c>
      <c r="B52" s="12">
        <f>SUM(MF:R!B52)</f>
        <v>193371</v>
      </c>
      <c r="C52" s="12">
        <f>SUM(MF:R!C52)</f>
        <v>205371</v>
      </c>
      <c r="D52" s="12">
        <f>SUM(MF:R!D52)</f>
        <v>183957</v>
      </c>
      <c r="E52" s="12">
        <f>SUM(MF:R!E52)</f>
        <v>147206.442</v>
      </c>
      <c r="F52" s="12">
        <f>SUM(MF:R!F52)</f>
        <v>121386</v>
      </c>
      <c r="G52" s="113">
        <f t="shared" si="2"/>
        <v>65.98607283223798</v>
      </c>
      <c r="H52" s="114">
        <f t="shared" si="3"/>
        <v>82.45970648485614</v>
      </c>
    </row>
    <row r="53" spans="1:8" ht="12.75">
      <c r="A53" s="11" t="s">
        <v>40</v>
      </c>
      <c r="B53" s="12">
        <f>SUM(MF:R!B53)</f>
        <v>110689</v>
      </c>
      <c r="C53" s="12">
        <f>SUM(MF:R!C53)</f>
        <v>146158</v>
      </c>
      <c r="D53" s="12">
        <f>SUM(MF:R!D53)</f>
        <v>120148</v>
      </c>
      <c r="E53" s="12">
        <f>SUM(MF:R!E53)</f>
        <v>92483.459</v>
      </c>
      <c r="F53" s="12">
        <f>SUM(MF:R!F53)</f>
        <v>85443</v>
      </c>
      <c r="G53" s="113">
        <f t="shared" si="2"/>
        <v>71.11479175683324</v>
      </c>
      <c r="H53" s="114">
        <f t="shared" si="3"/>
        <v>92.38733166327613</v>
      </c>
    </row>
    <row r="54" spans="1:8" ht="12.75">
      <c r="A54" s="11" t="s">
        <v>41</v>
      </c>
      <c r="B54" s="12">
        <f>SUM(MF:R!B54)</f>
        <v>44025</v>
      </c>
      <c r="C54" s="12">
        <f>SUM(MF:R!C54)</f>
        <v>290</v>
      </c>
      <c r="D54" s="12">
        <f>SUM(MF:R!D54)</f>
        <v>4918</v>
      </c>
      <c r="E54" s="12">
        <f>SUM(MF:R!E54)</f>
        <v>4918</v>
      </c>
      <c r="F54" s="12">
        <f>SUM(MF:R!F54)</f>
        <v>2767</v>
      </c>
      <c r="G54" s="113">
        <f t="shared" si="2"/>
        <v>56.26270841805612</v>
      </c>
      <c r="H54" s="114">
        <f t="shared" si="3"/>
        <v>56.26270841805612</v>
      </c>
    </row>
    <row r="55" spans="1:8" ht="12.75">
      <c r="A55" s="11" t="s">
        <v>42</v>
      </c>
      <c r="B55" s="12">
        <f>SUM(MF:R!B55)</f>
        <v>34479</v>
      </c>
      <c r="C55" s="12">
        <f>SUM(MF:R!C55)</f>
        <v>50231</v>
      </c>
      <c r="D55" s="12">
        <f>SUM(MF:R!D55)</f>
        <v>49785</v>
      </c>
      <c r="E55" s="12">
        <f>SUM(MF:R!E55)</f>
        <v>45125</v>
      </c>
      <c r="F55" s="12">
        <f>SUM(MF:R!F55)</f>
        <v>29938</v>
      </c>
      <c r="G55" s="113">
        <f t="shared" si="2"/>
        <v>60.13457868835995</v>
      </c>
      <c r="H55" s="114">
        <f t="shared" si="3"/>
        <v>66.34459833795013</v>
      </c>
    </row>
    <row r="56" spans="1:8" ht="13.5" thickBot="1">
      <c r="A56" s="37" t="s">
        <v>43</v>
      </c>
      <c r="B56" s="38">
        <f>SUM(MF:R!B56)</f>
        <v>171354</v>
      </c>
      <c r="C56" s="38">
        <f>SUM(MF:R!C56)</f>
        <v>126583</v>
      </c>
      <c r="D56" s="38">
        <f>SUM(MF:R!D56)</f>
        <v>178180</v>
      </c>
      <c r="E56" s="38">
        <f>SUM(MF:R!E56)</f>
        <v>178462.78746</v>
      </c>
      <c r="F56" s="38">
        <f>SUM(MF:R!F56)</f>
        <v>76661</v>
      </c>
      <c r="G56" s="121">
        <f t="shared" si="2"/>
        <v>43.02446963744528</v>
      </c>
      <c r="H56" s="122">
        <f t="shared" si="3"/>
        <v>42.95629418944413</v>
      </c>
    </row>
    <row r="57" spans="1:8" ht="12.75">
      <c r="A57" s="11" t="s">
        <v>44</v>
      </c>
      <c r="B57" s="12">
        <f>SUM(MF:R!B57)</f>
        <v>1374</v>
      </c>
      <c r="C57" s="12">
        <f>SUM(MF:R!C57)</f>
        <v>1400</v>
      </c>
      <c r="D57" s="12">
        <f>SUM(MF:R!D57)</f>
        <v>1407</v>
      </c>
      <c r="E57" s="12">
        <f>SUM(MF:R!E57)</f>
        <v>1407</v>
      </c>
      <c r="F57" s="12">
        <f>SUM(MF:R!F57)</f>
        <v>1373</v>
      </c>
      <c r="G57" s="113">
        <f t="shared" si="2"/>
        <v>97.58351101634683</v>
      </c>
      <c r="H57" s="114">
        <f t="shared" si="3"/>
        <v>97.58351101634683</v>
      </c>
    </row>
    <row r="58" spans="1:8" ht="12.75">
      <c r="A58" s="11" t="s">
        <v>45</v>
      </c>
      <c r="B58" s="12">
        <f>B41/B57/12*1000</f>
        <v>38217.30955846676</v>
      </c>
      <c r="C58" s="12">
        <f>C41/C57/12*1000</f>
        <v>38344.22619047619</v>
      </c>
      <c r="D58" s="12">
        <f>D41/D57/12*1000</f>
        <v>38017.649846008055</v>
      </c>
      <c r="E58" s="45">
        <f>E41/E57/12*1000</f>
        <v>39144.75242833452</v>
      </c>
      <c r="F58" s="12">
        <f>F41/F57/12*1000</f>
        <v>39371.26729788783</v>
      </c>
      <c r="G58" s="113">
        <f t="shared" si="2"/>
        <v>103.56049744621947</v>
      </c>
      <c r="H58" s="114">
        <f t="shared" si="3"/>
        <v>100.57865960442084</v>
      </c>
    </row>
    <row r="59" spans="1:8" ht="13.5" thickBot="1">
      <c r="A59" s="7" t="s">
        <v>46</v>
      </c>
      <c r="B59" s="13">
        <f>B46/B57*1000</f>
        <v>1068385.0072780203</v>
      </c>
      <c r="C59" s="13">
        <f>C46/C57*1000</f>
        <v>1081591.4285714286</v>
      </c>
      <c r="D59" s="13">
        <f>D46/D57*1000</f>
        <v>1276597.014925373</v>
      </c>
      <c r="E59" s="82">
        <f>E46/E57*1000</f>
        <v>1300103.831172708</v>
      </c>
      <c r="F59" s="13">
        <f>F46/F57*1000</f>
        <v>1087399.854333576</v>
      </c>
      <c r="G59" s="121">
        <f t="shared" si="2"/>
        <v>85.17957050033858</v>
      </c>
      <c r="H59" s="122">
        <f t="shared" si="3"/>
        <v>83.63946234607504</v>
      </c>
    </row>
  </sheetData>
  <mergeCells count="1">
    <mergeCell ref="C4:H4"/>
  </mergeCells>
  <printOptions/>
  <pageMargins left="1.1811023622047245" right="0" top="0.984251968503937" bottom="0.3937007874015748" header="0.31496062992125984" footer="0.5118110236220472"/>
  <pageSetup horizontalDpi="600" verticalDpi="600" orientation="portrait" paperSize="9" scale="95" r:id="rId1"/>
  <headerFooter alignWithMargins="0">
    <oddHeader>&amp;R&amp;"Arial CE,Tučné"&amp;12&amp;UPříloha č. 3 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">
      <selection activeCell="L15" sqref="L15"/>
    </sheetView>
  </sheetViews>
  <sheetFormatPr defaultColWidth="9.125" defaultRowHeight="12.75"/>
  <cols>
    <col min="1" max="1" width="33.125" style="2" customWidth="1"/>
    <col min="2" max="2" width="10.75390625" style="34" hidden="1" customWidth="1"/>
    <col min="3" max="4" width="11.125" style="2" customWidth="1"/>
    <col min="5" max="5" width="11.875" style="2" customWidth="1"/>
    <col min="6" max="6" width="11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48</v>
      </c>
      <c r="B1" s="33"/>
    </row>
    <row r="2" ht="12.75">
      <c r="A2" s="2" t="s">
        <v>71</v>
      </c>
    </row>
    <row r="3" ht="13.5" thickBot="1">
      <c r="H3" s="24"/>
    </row>
    <row r="4" spans="1:8" ht="12.75">
      <c r="A4" s="4"/>
      <c r="B4" s="36">
        <v>2008</v>
      </c>
      <c r="C4" s="152">
        <v>2010</v>
      </c>
      <c r="D4" s="153"/>
      <c r="E4" s="153"/>
      <c r="F4" s="153"/>
      <c r="G4" s="153"/>
      <c r="H4" s="154"/>
    </row>
    <row r="5" spans="1:8" ht="12.75">
      <c r="A5" s="5" t="s">
        <v>1</v>
      </c>
      <c r="B5" s="35" t="s">
        <v>2</v>
      </c>
      <c r="C5" s="97" t="s">
        <v>63</v>
      </c>
      <c r="D5" s="85"/>
      <c r="E5" s="27"/>
      <c r="F5" s="25" t="s">
        <v>2</v>
      </c>
      <c r="G5" s="25" t="s">
        <v>3</v>
      </c>
      <c r="H5" s="98" t="s">
        <v>3</v>
      </c>
    </row>
    <row r="6" spans="1:8" ht="13.5" thickBot="1">
      <c r="A6" s="7"/>
      <c r="B6" s="28" t="s">
        <v>66</v>
      </c>
      <c r="C6" s="99" t="s">
        <v>4</v>
      </c>
      <c r="D6" s="26" t="s">
        <v>64</v>
      </c>
      <c r="E6" s="96" t="s">
        <v>68</v>
      </c>
      <c r="F6" s="28" t="s">
        <v>66</v>
      </c>
      <c r="G6" s="26" t="s">
        <v>70</v>
      </c>
      <c r="H6" s="100" t="s">
        <v>69</v>
      </c>
    </row>
    <row r="7" spans="1:8" ht="13.5" thickBot="1">
      <c r="A7" s="7" t="s">
        <v>5</v>
      </c>
      <c r="B7" s="28">
        <v>1</v>
      </c>
      <c r="C7" s="99">
        <v>2</v>
      </c>
      <c r="D7" s="8">
        <v>3</v>
      </c>
      <c r="E7" s="8">
        <v>4</v>
      </c>
      <c r="F7" s="8">
        <v>5</v>
      </c>
      <c r="G7" s="28" t="s">
        <v>65</v>
      </c>
      <c r="H7" s="19" t="s">
        <v>67</v>
      </c>
    </row>
    <row r="8" spans="1:8" ht="12.75">
      <c r="A8" s="9" t="s">
        <v>6</v>
      </c>
      <c r="B8" s="10">
        <f>SUM(B10:B28)</f>
        <v>50363</v>
      </c>
      <c r="C8" s="101">
        <f>SUM(C10:C28)</f>
        <v>1391915</v>
      </c>
      <c r="D8" s="10">
        <f>SUM(D10:D28)</f>
        <v>1391915</v>
      </c>
      <c r="E8" s="46">
        <f>SUM(E10:E28)</f>
        <v>1392332</v>
      </c>
      <c r="F8" s="46">
        <f>SUM(F10:F28)</f>
        <v>1855498</v>
      </c>
      <c r="G8" s="89">
        <f>F8/D8*100</f>
        <v>133.30541017231656</v>
      </c>
      <c r="H8" s="95">
        <f>F8/E8*100</f>
        <v>133.26548553074986</v>
      </c>
    </row>
    <row r="9" spans="1:8" ht="12.75">
      <c r="A9" s="11" t="s">
        <v>7</v>
      </c>
      <c r="B9" s="12"/>
      <c r="C9" s="47"/>
      <c r="D9" s="12"/>
      <c r="E9" s="47"/>
      <c r="F9" s="47"/>
      <c r="G9" s="149"/>
      <c r="H9" s="94"/>
    </row>
    <row r="10" spans="1:8" ht="12.75">
      <c r="A10" s="11" t="s">
        <v>60</v>
      </c>
      <c r="B10" s="12"/>
      <c r="C10" s="12">
        <v>1303806</v>
      </c>
      <c r="D10" s="12">
        <v>1303806</v>
      </c>
      <c r="E10" s="12">
        <v>1303806</v>
      </c>
      <c r="F10" s="47">
        <v>1313776</v>
      </c>
      <c r="G10" s="103">
        <f>F10/D10*100</f>
        <v>100.76468431653176</v>
      </c>
      <c r="H10" s="94">
        <f>F10/E10*100</f>
        <v>100.76468431653176</v>
      </c>
    </row>
    <row r="11" spans="1:8" ht="12.75">
      <c r="A11" s="11" t="s">
        <v>8</v>
      </c>
      <c r="B11" s="47"/>
      <c r="C11" s="12"/>
      <c r="D11" s="12"/>
      <c r="E11" s="12">
        <v>0</v>
      </c>
      <c r="F11" s="47"/>
      <c r="G11" s="107"/>
      <c r="H11" s="94"/>
    </row>
    <row r="12" spans="1:8" ht="12.75">
      <c r="A12" s="11" t="s">
        <v>9</v>
      </c>
      <c r="B12" s="47"/>
      <c r="C12" s="12"/>
      <c r="D12" s="12"/>
      <c r="E12" s="12">
        <v>0</v>
      </c>
      <c r="F12" s="47"/>
      <c r="G12" s="107"/>
      <c r="H12" s="94"/>
    </row>
    <row r="13" spans="1:8" ht="12.75">
      <c r="A13" s="11" t="s">
        <v>10</v>
      </c>
      <c r="B13" s="48">
        <v>212</v>
      </c>
      <c r="C13" s="12">
        <v>160</v>
      </c>
      <c r="D13" s="12">
        <v>153</v>
      </c>
      <c r="E13" s="12">
        <v>153</v>
      </c>
      <c r="F13" s="48">
        <v>296</v>
      </c>
      <c r="G13" s="108">
        <f>F13/D13*100</f>
        <v>193.4640522875817</v>
      </c>
      <c r="H13" s="94">
        <f>F13/E13*100</f>
        <v>193.4640522875817</v>
      </c>
    </row>
    <row r="14" spans="1:8" ht="12.75">
      <c r="A14" s="43" t="s">
        <v>56</v>
      </c>
      <c r="B14" s="48"/>
      <c r="C14" s="12"/>
      <c r="D14" s="12"/>
      <c r="E14" s="12">
        <v>0</v>
      </c>
      <c r="F14" s="48"/>
      <c r="G14" s="108"/>
      <c r="H14" s="94"/>
    </row>
    <row r="15" spans="1:8" ht="12.75">
      <c r="A15" s="11" t="s">
        <v>11</v>
      </c>
      <c r="B15" s="48">
        <v>24533</v>
      </c>
      <c r="C15" s="12">
        <v>17919</v>
      </c>
      <c r="D15" s="12">
        <v>18004</v>
      </c>
      <c r="E15" s="12">
        <v>18004</v>
      </c>
      <c r="F15" s="48">
        <v>21891</v>
      </c>
      <c r="G15" s="108">
        <f>F15/D15*100</f>
        <v>121.58964674516774</v>
      </c>
      <c r="H15" s="94">
        <f>F15/E15*100</f>
        <v>121.58964674516774</v>
      </c>
    </row>
    <row r="16" spans="1:8" ht="12.75">
      <c r="A16" s="11" t="s">
        <v>12</v>
      </c>
      <c r="B16" s="48">
        <v>3513</v>
      </c>
      <c r="C16" s="12">
        <v>3040</v>
      </c>
      <c r="D16" s="12">
        <v>2966</v>
      </c>
      <c r="E16" s="12">
        <v>2966</v>
      </c>
      <c r="F16" s="48">
        <v>2617</v>
      </c>
      <c r="G16" s="108">
        <f>F16/D16*100</f>
        <v>88.23331085637221</v>
      </c>
      <c r="H16" s="94">
        <f>F16/E16*100</f>
        <v>88.23331085637221</v>
      </c>
    </row>
    <row r="17" spans="1:8" ht="12.75">
      <c r="A17" s="11" t="s">
        <v>13</v>
      </c>
      <c r="B17" s="48">
        <v>5</v>
      </c>
      <c r="C17" s="12">
        <v>60000</v>
      </c>
      <c r="D17" s="12">
        <v>60000</v>
      </c>
      <c r="E17" s="12">
        <v>60000</v>
      </c>
      <c r="F17" s="48">
        <v>500715</v>
      </c>
      <c r="G17" s="108">
        <f>F17/D17*100</f>
        <v>834.525</v>
      </c>
      <c r="H17" s="41">
        <f>F17/E17*100</f>
        <v>834.525</v>
      </c>
    </row>
    <row r="18" spans="1:8" ht="12.75">
      <c r="A18" s="11" t="s">
        <v>14</v>
      </c>
      <c r="B18" s="48">
        <v>91</v>
      </c>
      <c r="C18" s="12">
        <v>79</v>
      </c>
      <c r="D18" s="12">
        <v>69</v>
      </c>
      <c r="E18" s="12">
        <v>69</v>
      </c>
      <c r="F18" s="48">
        <v>521</v>
      </c>
      <c r="G18" s="108">
        <f>F18/D18*100</f>
        <v>755.0724637681159</v>
      </c>
      <c r="H18" s="41">
        <f>F18/E18*100</f>
        <v>755.0724637681159</v>
      </c>
    </row>
    <row r="19" spans="1:8" ht="12.75">
      <c r="A19" s="11" t="s">
        <v>15</v>
      </c>
      <c r="B19" s="48">
        <v>13673</v>
      </c>
      <c r="C19" s="12">
        <v>6211</v>
      </c>
      <c r="D19" s="12">
        <v>6363</v>
      </c>
      <c r="E19" s="12">
        <v>6780</v>
      </c>
      <c r="F19" s="48">
        <v>12086</v>
      </c>
      <c r="G19" s="108">
        <f>F19/D19*100</f>
        <v>189.94185132798995</v>
      </c>
      <c r="H19" s="41">
        <f>F19/E19*100</f>
        <v>178.25958702064898</v>
      </c>
    </row>
    <row r="20" spans="1:8" ht="12.75">
      <c r="A20" s="11" t="s">
        <v>62</v>
      </c>
      <c r="B20" s="48"/>
      <c r="C20" s="12"/>
      <c r="D20" s="12"/>
      <c r="E20" s="12">
        <v>0</v>
      </c>
      <c r="F20" s="48"/>
      <c r="G20" s="108"/>
      <c r="H20" s="41"/>
    </row>
    <row r="21" spans="1:8" ht="12.75">
      <c r="A21" s="44" t="s">
        <v>57</v>
      </c>
      <c r="B21" s="48"/>
      <c r="C21" s="12"/>
      <c r="D21" s="12"/>
      <c r="E21" s="12">
        <v>0</v>
      </c>
      <c r="F21" s="48"/>
      <c r="G21" s="108"/>
      <c r="H21" s="41"/>
    </row>
    <row r="22" spans="1:8" ht="12.75">
      <c r="A22" s="11" t="s">
        <v>16</v>
      </c>
      <c r="B22" s="48">
        <v>946</v>
      </c>
      <c r="C22" s="12">
        <v>700</v>
      </c>
      <c r="D22" s="12">
        <v>554</v>
      </c>
      <c r="E22" s="12">
        <v>554</v>
      </c>
      <c r="F22" s="48">
        <v>1628</v>
      </c>
      <c r="G22" s="108">
        <f>F22/D22*100</f>
        <v>293.86281588447656</v>
      </c>
      <c r="H22" s="41">
        <f>F22/E22*100</f>
        <v>293.86281588447656</v>
      </c>
    </row>
    <row r="23" spans="1:8" ht="12.75">
      <c r="A23" s="44" t="s">
        <v>58</v>
      </c>
      <c r="B23" s="48"/>
      <c r="C23" s="12"/>
      <c r="D23" s="12"/>
      <c r="E23" s="12">
        <v>0</v>
      </c>
      <c r="F23" s="48"/>
      <c r="G23" s="108"/>
      <c r="H23" s="41"/>
    </row>
    <row r="24" spans="1:8" ht="12.75" customHeight="1">
      <c r="A24" s="11" t="s">
        <v>17</v>
      </c>
      <c r="B24" s="48"/>
      <c r="C24" s="12"/>
      <c r="D24" s="12"/>
      <c r="E24" s="12">
        <v>0</v>
      </c>
      <c r="F24" s="48"/>
      <c r="G24" s="108"/>
      <c r="H24" s="41"/>
    </row>
    <row r="25" spans="1:8" ht="12.75" customHeight="1">
      <c r="A25" s="11" t="s">
        <v>72</v>
      </c>
      <c r="B25" s="48"/>
      <c r="C25" s="12"/>
      <c r="D25" s="12"/>
      <c r="E25" s="12">
        <v>0</v>
      </c>
      <c r="F25" s="48"/>
      <c r="G25" s="108"/>
      <c r="H25" s="41"/>
    </row>
    <row r="26" spans="1:8" ht="12.75" customHeight="1">
      <c r="A26" s="11" t="s">
        <v>59</v>
      </c>
      <c r="B26" s="48"/>
      <c r="C26" s="12"/>
      <c r="D26" s="12"/>
      <c r="E26" s="12">
        <v>0</v>
      </c>
      <c r="F26" s="48"/>
      <c r="G26" s="108"/>
      <c r="H26" s="41"/>
    </row>
    <row r="27" spans="1:8" ht="12.75" customHeight="1">
      <c r="A27" s="64" t="s">
        <v>61</v>
      </c>
      <c r="B27" s="67"/>
      <c r="C27" s="65"/>
      <c r="D27" s="65"/>
      <c r="E27" s="65">
        <v>0</v>
      </c>
      <c r="F27" s="67"/>
      <c r="G27" s="109"/>
      <c r="H27" s="66"/>
    </row>
    <row r="28" spans="1:8" ht="13.5" thickBot="1">
      <c r="A28" s="7" t="s">
        <v>18</v>
      </c>
      <c r="B28" s="88">
        <v>7390</v>
      </c>
      <c r="C28" s="13"/>
      <c r="D28" s="13"/>
      <c r="E28" s="13">
        <v>0</v>
      </c>
      <c r="F28" s="63">
        <v>1968</v>
      </c>
      <c r="G28" s="110"/>
      <c r="H28" s="60"/>
    </row>
    <row r="29" spans="1:8" ht="12.75">
      <c r="A29" s="5"/>
      <c r="B29" s="14"/>
      <c r="C29" s="14"/>
      <c r="D29" s="14"/>
      <c r="E29" s="49"/>
      <c r="F29" s="49"/>
      <c r="G29" s="50"/>
      <c r="H29" s="42"/>
    </row>
    <row r="30" spans="1:8" ht="12.75">
      <c r="A30" s="9" t="s">
        <v>19</v>
      </c>
      <c r="B30" s="10">
        <f>B32+B38</f>
        <v>7928825</v>
      </c>
      <c r="C30" s="10">
        <f>C32+C38</f>
        <v>7324872</v>
      </c>
      <c r="D30" s="10">
        <f>D32+D38</f>
        <v>7515865</v>
      </c>
      <c r="E30" s="10">
        <f>E32+E38</f>
        <v>7435214</v>
      </c>
      <c r="F30" s="10">
        <f>F32+F38</f>
        <v>7424143</v>
      </c>
      <c r="G30" s="133">
        <f>F30/D30*100</f>
        <v>98.77962150730488</v>
      </c>
      <c r="H30" s="116">
        <f>F30/E30*100</f>
        <v>99.85110045252227</v>
      </c>
    </row>
    <row r="31" spans="1:10" ht="12.75">
      <c r="A31" s="11" t="s">
        <v>20</v>
      </c>
      <c r="B31" s="12"/>
      <c r="C31" s="12"/>
      <c r="D31" s="12"/>
      <c r="E31" s="51"/>
      <c r="F31" s="51"/>
      <c r="G31" s="134"/>
      <c r="H31" s="114"/>
      <c r="I31" s="34"/>
      <c r="J31" s="34"/>
    </row>
    <row r="32" spans="1:8" ht="12.75">
      <c r="A32" s="9" t="s">
        <v>21</v>
      </c>
      <c r="B32" s="10">
        <f>B34+B35+B36</f>
        <v>488791</v>
      </c>
      <c r="C32" s="10">
        <f>C34+C35+C36</f>
        <v>92799</v>
      </c>
      <c r="D32" s="10">
        <f>D34+D35+D36</f>
        <v>101043</v>
      </c>
      <c r="E32" s="10">
        <f>E34+E35+E36</f>
        <v>206470</v>
      </c>
      <c r="F32" s="10">
        <f>F34+F35+F36</f>
        <v>200359</v>
      </c>
      <c r="G32" s="133">
        <f>F32/D32*100</f>
        <v>198.29082667775106</v>
      </c>
      <c r="H32" s="116">
        <f>F32/E32*100</f>
        <v>97.04024797791446</v>
      </c>
    </row>
    <row r="33" spans="1:8" ht="12.75">
      <c r="A33" s="11" t="s">
        <v>22</v>
      </c>
      <c r="B33" s="12"/>
      <c r="C33" s="12"/>
      <c r="D33" s="12"/>
      <c r="E33" s="52"/>
      <c r="F33" s="52"/>
      <c r="G33" s="135"/>
      <c r="H33" s="114"/>
    </row>
    <row r="34" spans="1:8" ht="12.75">
      <c r="A34" s="11" t="s">
        <v>23</v>
      </c>
      <c r="B34" s="48">
        <v>15597</v>
      </c>
      <c r="C34" s="12">
        <v>0</v>
      </c>
      <c r="D34" s="12"/>
      <c r="E34" s="48"/>
      <c r="F34" s="48"/>
      <c r="G34" s="136"/>
      <c r="H34" s="114"/>
    </row>
    <row r="35" spans="1:8" ht="12.75">
      <c r="A35" s="11" t="s">
        <v>24</v>
      </c>
      <c r="B35" s="48">
        <v>471508</v>
      </c>
      <c r="C35" s="12">
        <v>92799</v>
      </c>
      <c r="D35" s="12">
        <v>101043</v>
      </c>
      <c r="E35" s="12">
        <v>206470</v>
      </c>
      <c r="F35" s="48">
        <v>200359</v>
      </c>
      <c r="G35" s="136">
        <f>F35/D35*100</f>
        <v>198.29082667775106</v>
      </c>
      <c r="H35" s="114">
        <f>F35/E35*100</f>
        <v>97.04024797791446</v>
      </c>
    </row>
    <row r="36" spans="1:8" ht="12.75">
      <c r="A36" s="15" t="s">
        <v>25</v>
      </c>
      <c r="B36" s="53">
        <v>1686</v>
      </c>
      <c r="C36" s="16">
        <v>0</v>
      </c>
      <c r="D36" s="16"/>
      <c r="E36" s="53"/>
      <c r="F36" s="53"/>
      <c r="G36" s="137"/>
      <c r="H36" s="116"/>
    </row>
    <row r="37" spans="1:8" ht="12.75">
      <c r="A37" s="5"/>
      <c r="B37" s="14"/>
      <c r="C37" s="14"/>
      <c r="D37" s="14"/>
      <c r="E37" s="54"/>
      <c r="F37" s="55"/>
      <c r="G37" s="138"/>
      <c r="H37" s="118"/>
    </row>
    <row r="38" spans="1:8" ht="12.75">
      <c r="A38" s="9" t="s">
        <v>26</v>
      </c>
      <c r="B38" s="10">
        <f>B40+B43+B44+B45+B46</f>
        <v>7440034</v>
      </c>
      <c r="C38" s="10">
        <f>C40+C43+C44+B45+C46</f>
        <v>7232073</v>
      </c>
      <c r="D38" s="10">
        <f>D40+D43+D44+B45+D46</f>
        <v>7414822</v>
      </c>
      <c r="E38" s="10">
        <f>E40+E43+E44+C45+E46</f>
        <v>7228744</v>
      </c>
      <c r="F38" s="10">
        <f>F40+F43+F44+E45+F46</f>
        <v>7223784</v>
      </c>
      <c r="G38" s="139">
        <f>F38/D38*100</f>
        <v>97.42356593320784</v>
      </c>
      <c r="H38" s="116">
        <f>F38/E38*100</f>
        <v>99.93138503729003</v>
      </c>
    </row>
    <row r="39" spans="1:8" ht="12.75">
      <c r="A39" s="11" t="s">
        <v>22</v>
      </c>
      <c r="B39" s="12"/>
      <c r="C39" s="12"/>
      <c r="D39" s="12"/>
      <c r="E39" s="51"/>
      <c r="F39" s="51"/>
      <c r="G39" s="134"/>
      <c r="H39" s="114"/>
    </row>
    <row r="40" spans="1:8" ht="12.75">
      <c r="A40" s="17" t="s">
        <v>27</v>
      </c>
      <c r="B40" s="18">
        <f>B41+B42</f>
        <v>4512127</v>
      </c>
      <c r="C40" s="18">
        <f>C41+C42</f>
        <v>4636327</v>
      </c>
      <c r="D40" s="18">
        <f>D41+D42</f>
        <v>4699419</v>
      </c>
      <c r="E40" s="18">
        <f>E41+E42</f>
        <v>4585393</v>
      </c>
      <c r="F40" s="18">
        <f>F41+F42</f>
        <v>4585218</v>
      </c>
      <c r="G40" s="132">
        <f>F40/D40*100</f>
        <v>97.56989108653644</v>
      </c>
      <c r="H40" s="114">
        <f>F40/E40*100</f>
        <v>99.9961835332326</v>
      </c>
    </row>
    <row r="41" spans="1:8" ht="12.75">
      <c r="A41" s="11" t="s">
        <v>28</v>
      </c>
      <c r="B41" s="56">
        <v>4498551</v>
      </c>
      <c r="C41" s="12">
        <v>4624609</v>
      </c>
      <c r="D41" s="56">
        <v>4683866</v>
      </c>
      <c r="E41" s="56">
        <v>4571077</v>
      </c>
      <c r="F41" s="151">
        <f>4571027+1</f>
        <v>4571028</v>
      </c>
      <c r="G41" s="136">
        <f>F41/D41*100</f>
        <v>97.59092168734118</v>
      </c>
      <c r="H41" s="114">
        <f>F41/E41*100</f>
        <v>99.99892804255978</v>
      </c>
    </row>
    <row r="42" spans="1:8" ht="12.75">
      <c r="A42" s="11" t="s">
        <v>49</v>
      </c>
      <c r="B42" s="56">
        <v>13576</v>
      </c>
      <c r="C42" s="12">
        <v>11718</v>
      </c>
      <c r="D42" s="56">
        <v>15553</v>
      </c>
      <c r="E42" s="56">
        <v>14316</v>
      </c>
      <c r="F42" s="56">
        <v>14190</v>
      </c>
      <c r="G42" s="136">
        <f>F42/D42*100</f>
        <v>91.23641741143189</v>
      </c>
      <c r="H42" s="114">
        <f>F42/E42*100</f>
        <v>99.11986588432524</v>
      </c>
    </row>
    <row r="43" spans="1:10" ht="12.75">
      <c r="A43" s="21" t="s">
        <v>30</v>
      </c>
      <c r="B43" s="57">
        <v>1579241</v>
      </c>
      <c r="C43" s="22">
        <v>1576352</v>
      </c>
      <c r="D43" s="57">
        <v>1591259</v>
      </c>
      <c r="E43" s="57">
        <v>1552670</v>
      </c>
      <c r="F43" s="57">
        <v>1552529</v>
      </c>
      <c r="G43" s="132">
        <f>F43/D43*100</f>
        <v>97.56607818086182</v>
      </c>
      <c r="H43" s="114">
        <f>F43/E43*100</f>
        <v>99.99091886878732</v>
      </c>
      <c r="J43" s="2" t="s">
        <v>53</v>
      </c>
    </row>
    <row r="44" spans="1:8" ht="12.75">
      <c r="A44" s="21" t="s">
        <v>31</v>
      </c>
      <c r="B44" s="57">
        <v>89996</v>
      </c>
      <c r="C44" s="22">
        <v>92493</v>
      </c>
      <c r="D44" s="57">
        <v>93748</v>
      </c>
      <c r="E44" s="57">
        <v>91477</v>
      </c>
      <c r="F44" s="57">
        <v>91447</v>
      </c>
      <c r="G44" s="132">
        <f>F44/D44*100</f>
        <v>97.54554763834962</v>
      </c>
      <c r="H44" s="114">
        <f>F44/E44*100</f>
        <v>99.9672048711698</v>
      </c>
    </row>
    <row r="45" spans="1:8" ht="12.75">
      <c r="A45" s="17" t="s">
        <v>50</v>
      </c>
      <c r="B45" s="57">
        <v>0</v>
      </c>
      <c r="C45" s="57">
        <v>0</v>
      </c>
      <c r="D45" s="18">
        <v>0</v>
      </c>
      <c r="E45" s="57">
        <v>0</v>
      </c>
      <c r="F45" s="57">
        <v>0</v>
      </c>
      <c r="G45" s="132">
        <v>0</v>
      </c>
      <c r="H45" s="114">
        <v>0</v>
      </c>
    </row>
    <row r="46" spans="1:8" ht="12.75">
      <c r="A46" s="17" t="s">
        <v>33</v>
      </c>
      <c r="B46" s="18">
        <f>B48+B49+B50+B52+B56</f>
        <v>1258670</v>
      </c>
      <c r="C46" s="18">
        <f>C48+C49+C50+C52+C56</f>
        <v>926901</v>
      </c>
      <c r="D46" s="18">
        <f>D48+D49+D50+D52+D56</f>
        <v>1030396</v>
      </c>
      <c r="E46" s="18">
        <f>E48+E49+E50+E52+E56</f>
        <v>999204</v>
      </c>
      <c r="F46" s="18">
        <f>F48+F49+F50+F52+F56</f>
        <v>994590</v>
      </c>
      <c r="G46" s="132">
        <f>F46/D46*100</f>
        <v>96.52502533006727</v>
      </c>
      <c r="H46" s="114">
        <f>F46/E46*100</f>
        <v>99.53823243301669</v>
      </c>
    </row>
    <row r="47" spans="1:8" ht="12.75">
      <c r="A47" s="11" t="s">
        <v>34</v>
      </c>
      <c r="B47" s="12"/>
      <c r="C47" s="12"/>
      <c r="D47" s="12"/>
      <c r="E47" s="56"/>
      <c r="F47" s="56"/>
      <c r="G47" s="140"/>
      <c r="H47" s="114"/>
    </row>
    <row r="48" spans="1:8" ht="12.75">
      <c r="A48" s="11" t="s">
        <v>35</v>
      </c>
      <c r="B48" s="56">
        <v>219724</v>
      </c>
      <c r="C48" s="45">
        <v>105739</v>
      </c>
      <c r="D48" s="56">
        <v>145555</v>
      </c>
      <c r="E48" s="56">
        <v>136554</v>
      </c>
      <c r="F48" s="56">
        <v>137320</v>
      </c>
      <c r="G48" s="136">
        <f aca="true" t="shared" si="0" ref="G48:G59">F48/D48*100</f>
        <v>94.34234481810999</v>
      </c>
      <c r="H48" s="114">
        <f aca="true" t="shared" si="1" ref="H48:H59">F48/E48*100</f>
        <v>100.56095024678882</v>
      </c>
    </row>
    <row r="49" spans="1:8" ht="12.75">
      <c r="A49" s="11" t="s">
        <v>36</v>
      </c>
      <c r="B49" s="56">
        <v>191093</v>
      </c>
      <c r="C49" s="45">
        <v>188586</v>
      </c>
      <c r="D49" s="56">
        <v>201837</v>
      </c>
      <c r="E49" s="56">
        <v>198698</v>
      </c>
      <c r="F49" s="56">
        <v>198307</v>
      </c>
      <c r="G49" s="136">
        <f t="shared" si="0"/>
        <v>98.25106397736788</v>
      </c>
      <c r="H49" s="114">
        <f t="shared" si="1"/>
        <v>99.80321895539966</v>
      </c>
    </row>
    <row r="50" spans="1:8" ht="12.75">
      <c r="A50" s="11" t="s">
        <v>37</v>
      </c>
      <c r="B50" s="56">
        <v>661792</v>
      </c>
      <c r="C50" s="45">
        <v>506338</v>
      </c>
      <c r="D50" s="56">
        <v>504770</v>
      </c>
      <c r="E50" s="56">
        <v>487651</v>
      </c>
      <c r="F50" s="56">
        <v>484177</v>
      </c>
      <c r="G50" s="136">
        <f t="shared" si="0"/>
        <v>95.92032014580897</v>
      </c>
      <c r="H50" s="114">
        <f t="shared" si="1"/>
        <v>99.28760527508402</v>
      </c>
    </row>
    <row r="51" spans="1:8" ht="12.75">
      <c r="A51" s="11" t="s">
        <v>38</v>
      </c>
      <c r="B51" s="56">
        <v>134912</v>
      </c>
      <c r="C51" s="45">
        <f>93108+30</f>
        <v>93138</v>
      </c>
      <c r="D51" s="56">
        <v>133332</v>
      </c>
      <c r="E51" s="56">
        <v>134744</v>
      </c>
      <c r="F51" s="56">
        <v>134739</v>
      </c>
      <c r="G51" s="136">
        <f t="shared" si="0"/>
        <v>101.05526055260552</v>
      </c>
      <c r="H51" s="114">
        <f t="shared" si="1"/>
        <v>99.99628925963309</v>
      </c>
    </row>
    <row r="52" spans="1:8" ht="12.75">
      <c r="A52" s="11" t="s">
        <v>39</v>
      </c>
      <c r="B52" s="56">
        <v>172178</v>
      </c>
      <c r="C52" s="45">
        <v>110261</v>
      </c>
      <c r="D52" s="56">
        <v>155058</v>
      </c>
      <c r="E52" s="56">
        <v>151813</v>
      </c>
      <c r="F52" s="56">
        <v>150689</v>
      </c>
      <c r="G52" s="136">
        <f t="shared" si="0"/>
        <v>97.18234467102633</v>
      </c>
      <c r="H52" s="114">
        <f t="shared" si="1"/>
        <v>99.25961544795243</v>
      </c>
    </row>
    <row r="53" spans="1:8" ht="12.75">
      <c r="A53" s="11" t="s">
        <v>40</v>
      </c>
      <c r="B53" s="56">
        <v>119413</v>
      </c>
      <c r="C53" s="45">
        <v>84407</v>
      </c>
      <c r="D53" s="56">
        <v>111831</v>
      </c>
      <c r="E53" s="56">
        <v>108636</v>
      </c>
      <c r="F53" s="56">
        <v>108202</v>
      </c>
      <c r="G53" s="136">
        <f t="shared" si="0"/>
        <v>96.754924841949</v>
      </c>
      <c r="H53" s="114">
        <f t="shared" si="1"/>
        <v>99.60050075481425</v>
      </c>
    </row>
    <row r="54" spans="1:8" ht="12.75">
      <c r="A54" s="11" t="s">
        <v>41</v>
      </c>
      <c r="B54" s="56">
        <v>20883</v>
      </c>
      <c r="C54" s="45">
        <v>300</v>
      </c>
      <c r="D54" s="56">
        <v>16841</v>
      </c>
      <c r="E54" s="56">
        <v>16841</v>
      </c>
      <c r="F54" s="56">
        <v>16264</v>
      </c>
      <c r="G54" s="136">
        <f t="shared" si="0"/>
        <v>96.57383765809632</v>
      </c>
      <c r="H54" s="114">
        <f t="shared" si="1"/>
        <v>96.57383765809632</v>
      </c>
    </row>
    <row r="55" spans="1:8" ht="12.75">
      <c r="A55" s="11" t="s">
        <v>42</v>
      </c>
      <c r="B55" s="56">
        <v>29039</v>
      </c>
      <c r="C55" s="45">
        <v>23422</v>
      </c>
      <c r="D55" s="56">
        <v>24612</v>
      </c>
      <c r="E55" s="56">
        <v>24562</v>
      </c>
      <c r="F55" s="56">
        <v>24501</v>
      </c>
      <c r="G55" s="136">
        <f t="shared" si="0"/>
        <v>99.54900048756704</v>
      </c>
      <c r="H55" s="114">
        <f t="shared" si="1"/>
        <v>99.75164888852699</v>
      </c>
    </row>
    <row r="56" spans="1:8" ht="13.5" thickBot="1">
      <c r="A56" s="37" t="s">
        <v>43</v>
      </c>
      <c r="B56" s="38">
        <v>13883</v>
      </c>
      <c r="C56" s="38">
        <f>322+8135+470+7050</f>
        <v>15977</v>
      </c>
      <c r="D56" s="81">
        <v>23176</v>
      </c>
      <c r="E56" s="38">
        <v>24488</v>
      </c>
      <c r="F56" s="38">
        <f>24098-1</f>
        <v>24097</v>
      </c>
      <c r="G56" s="141">
        <f t="shared" si="0"/>
        <v>103.97393855712806</v>
      </c>
      <c r="H56" s="122">
        <f t="shared" si="1"/>
        <v>98.40329957530219</v>
      </c>
    </row>
    <row r="57" spans="1:8" ht="12.75">
      <c r="A57" s="11" t="s">
        <v>44</v>
      </c>
      <c r="B57" s="12">
        <v>15379</v>
      </c>
      <c r="C57" s="12">
        <v>15360</v>
      </c>
      <c r="D57" s="12">
        <v>15357</v>
      </c>
      <c r="E57" s="12">
        <v>15357</v>
      </c>
      <c r="F57" s="12">
        <v>15040</v>
      </c>
      <c r="G57" s="136">
        <f t="shared" si="0"/>
        <v>97.93579475157908</v>
      </c>
      <c r="H57" s="114">
        <f t="shared" si="1"/>
        <v>97.93579475157908</v>
      </c>
    </row>
    <row r="58" spans="1:8" ht="12.75">
      <c r="A58" s="11" t="s">
        <v>45</v>
      </c>
      <c r="B58" s="12">
        <f>B41/B57/12*1000</f>
        <v>24376.04850770531</v>
      </c>
      <c r="C58" s="12">
        <f>C41/C57/12*1000</f>
        <v>25090.109592013887</v>
      </c>
      <c r="D58" s="12">
        <f>D41/D57/12*1000</f>
        <v>25416.56356493239</v>
      </c>
      <c r="E58" s="45">
        <f>E41/E57/12*1000</f>
        <v>24804.52453821276</v>
      </c>
      <c r="F58" s="12">
        <f>F41/F57/12*1000</f>
        <v>25327.061170212768</v>
      </c>
      <c r="G58" s="136">
        <f t="shared" si="0"/>
        <v>99.6478580021608</v>
      </c>
      <c r="H58" s="114">
        <f t="shared" si="1"/>
        <v>102.10661821473342</v>
      </c>
    </row>
    <row r="59" spans="1:8" ht="13.5" thickBot="1">
      <c r="A59" s="7" t="s">
        <v>46</v>
      </c>
      <c r="B59" s="13">
        <f>B46/B57*1000</f>
        <v>81843.42284934002</v>
      </c>
      <c r="C59" s="13">
        <f>C46/C57*1000</f>
        <v>60345.1171875</v>
      </c>
      <c r="D59" s="13">
        <f>D46/D57*1000</f>
        <v>67096.17763886176</v>
      </c>
      <c r="E59" s="82">
        <f>E46/E57*1000</f>
        <v>65065.05176792342</v>
      </c>
      <c r="F59" s="13">
        <f>F46/F57*1000</f>
        <v>66129.65425531915</v>
      </c>
      <c r="G59" s="142">
        <f t="shared" si="0"/>
        <v>98.55949561129277</v>
      </c>
      <c r="H59" s="130">
        <f t="shared" si="1"/>
        <v>101.63621246501577</v>
      </c>
    </row>
  </sheetData>
  <mergeCells count="1">
    <mergeCell ref="C4:H4"/>
  </mergeCells>
  <printOptions/>
  <pageMargins left="0.984251968503937" right="0" top="0.984251968503937" bottom="0.3937007874015748" header="0.31496062992125984" footer="0.5118110236220472"/>
  <pageSetup horizontalDpi="600" verticalDpi="600" orientation="portrait" paperSize="9" scale="95" r:id="rId1"/>
  <headerFooter alignWithMargins="0">
    <oddHeader>&amp;R&amp;"Arial CE,Tučné"&amp;12&amp;UPříloha č. 3 b)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L15" sqref="L15"/>
    </sheetView>
  </sheetViews>
  <sheetFormatPr defaultColWidth="9.125" defaultRowHeight="12.75"/>
  <cols>
    <col min="1" max="1" width="33.125" style="2" customWidth="1"/>
    <col min="2" max="2" width="10.75390625" style="34" hidden="1" customWidth="1"/>
    <col min="3" max="4" width="11.125" style="2" customWidth="1"/>
    <col min="5" max="5" width="11.875" style="2" customWidth="1"/>
    <col min="6" max="6" width="11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51</v>
      </c>
      <c r="B1" s="33"/>
    </row>
    <row r="2" ht="12.75">
      <c r="A2" s="2" t="s">
        <v>71</v>
      </c>
    </row>
    <row r="3" spans="6:8" ht="13.5" thickBot="1">
      <c r="F3" s="3"/>
      <c r="H3" s="24"/>
    </row>
    <row r="4" spans="1:8" ht="12.75">
      <c r="A4" s="4"/>
      <c r="B4" s="36">
        <v>2008</v>
      </c>
      <c r="C4" s="152">
        <v>2010</v>
      </c>
      <c r="D4" s="153"/>
      <c r="E4" s="153"/>
      <c r="F4" s="153"/>
      <c r="G4" s="153"/>
      <c r="H4" s="154"/>
    </row>
    <row r="5" spans="1:8" ht="12.75">
      <c r="A5" s="5" t="s">
        <v>1</v>
      </c>
      <c r="B5" s="35" t="s">
        <v>2</v>
      </c>
      <c r="C5" s="97" t="s">
        <v>63</v>
      </c>
      <c r="D5" s="85"/>
      <c r="E5" s="27"/>
      <c r="F5" s="25" t="s">
        <v>2</v>
      </c>
      <c r="G5" s="25" t="s">
        <v>3</v>
      </c>
      <c r="H5" s="98" t="s">
        <v>3</v>
      </c>
    </row>
    <row r="6" spans="1:8" ht="13.5" thickBot="1">
      <c r="A6" s="7"/>
      <c r="B6" s="28" t="s">
        <v>66</v>
      </c>
      <c r="C6" s="99" t="s">
        <v>4</v>
      </c>
      <c r="D6" s="26" t="s">
        <v>64</v>
      </c>
      <c r="E6" s="96" t="s">
        <v>68</v>
      </c>
      <c r="F6" s="28" t="s">
        <v>66</v>
      </c>
      <c r="G6" s="26" t="s">
        <v>70</v>
      </c>
      <c r="H6" s="100" t="s">
        <v>69</v>
      </c>
    </row>
    <row r="7" spans="1:8" ht="13.5" thickBot="1">
      <c r="A7" s="7" t="s">
        <v>5</v>
      </c>
      <c r="B7" s="28">
        <v>1</v>
      </c>
      <c r="C7" s="99">
        <v>2</v>
      </c>
      <c r="D7" s="8">
        <v>3</v>
      </c>
      <c r="E7" s="8">
        <v>4</v>
      </c>
      <c r="F7" s="8">
        <v>5</v>
      </c>
      <c r="G7" s="28" t="s">
        <v>65</v>
      </c>
      <c r="H7" s="19" t="s">
        <v>67</v>
      </c>
    </row>
    <row r="8" spans="1:8" ht="12.75">
      <c r="A8" s="15" t="s">
        <v>6</v>
      </c>
      <c r="B8" s="58">
        <f>SUM(B10:B28)-B12</f>
        <v>750003</v>
      </c>
      <c r="C8" s="101">
        <f>SUM(C10:C28)-C12</f>
        <v>1411389</v>
      </c>
      <c r="D8" s="10">
        <f>SUM(D10:D28)-D12</f>
        <v>1439266</v>
      </c>
      <c r="E8" s="40">
        <f>SUM(E10:E28)-E12</f>
        <v>1449030</v>
      </c>
      <c r="F8" s="40">
        <f>SUM(F10:F28)-F12</f>
        <v>1675483</v>
      </c>
      <c r="G8" s="143">
        <f>F8/D8*100</f>
        <v>116.41232405962482</v>
      </c>
      <c r="H8" s="95">
        <f>F8/E8*100</f>
        <v>115.6279028039447</v>
      </c>
    </row>
    <row r="9" spans="1:8" ht="12.75">
      <c r="A9" s="11" t="s">
        <v>7</v>
      </c>
      <c r="B9" s="12"/>
      <c r="C9" s="47"/>
      <c r="D9" s="12"/>
      <c r="E9" s="12"/>
      <c r="F9" s="12"/>
      <c r="G9" s="103"/>
      <c r="H9" s="94"/>
    </row>
    <row r="10" spans="1:8" ht="12.75">
      <c r="A10" s="11" t="s">
        <v>60</v>
      </c>
      <c r="B10" s="12"/>
      <c r="C10" s="12">
        <v>2400</v>
      </c>
      <c r="D10" s="12">
        <v>2400</v>
      </c>
      <c r="E10" s="12">
        <v>2400</v>
      </c>
      <c r="F10" s="12">
        <v>6526</v>
      </c>
      <c r="G10" s="103">
        <f>F10/D10*100</f>
        <v>271.9166666666667</v>
      </c>
      <c r="H10" s="94">
        <f aca="true" t="shared" si="0" ref="H10:H28">F10/E10*100</f>
        <v>271.9166666666667</v>
      </c>
    </row>
    <row r="11" spans="1:8" ht="12.75">
      <c r="A11" s="11" t="s">
        <v>8</v>
      </c>
      <c r="B11" s="12">
        <v>648551</v>
      </c>
      <c r="C11" s="12">
        <v>570932</v>
      </c>
      <c r="D11" s="12">
        <v>570932</v>
      </c>
      <c r="E11" s="12">
        <v>570932</v>
      </c>
      <c r="F11" s="12">
        <v>589132</v>
      </c>
      <c r="G11" s="103">
        <f>F11/D11*100</f>
        <v>103.18777017227971</v>
      </c>
      <c r="H11" s="94">
        <f t="shared" si="0"/>
        <v>103.18777017227971</v>
      </c>
    </row>
    <row r="12" spans="1:9" ht="12.75">
      <c r="A12" s="11" t="s">
        <v>9</v>
      </c>
      <c r="B12" s="12">
        <v>534101</v>
      </c>
      <c r="C12" s="12">
        <v>510437</v>
      </c>
      <c r="D12" s="12">
        <v>510437</v>
      </c>
      <c r="E12" s="12">
        <v>510437</v>
      </c>
      <c r="F12" s="12">
        <v>523676</v>
      </c>
      <c r="G12" s="103">
        <f>F12/D12*100</f>
        <v>102.59365994236312</v>
      </c>
      <c r="H12" s="94">
        <f t="shared" si="0"/>
        <v>102.59365994236312</v>
      </c>
      <c r="I12" s="34"/>
    </row>
    <row r="13" spans="1:8" ht="12.75">
      <c r="A13" s="11" t="s">
        <v>10</v>
      </c>
      <c r="B13" s="12">
        <v>55180</v>
      </c>
      <c r="C13" s="12">
        <v>43100</v>
      </c>
      <c r="D13" s="12">
        <v>43100</v>
      </c>
      <c r="E13" s="12">
        <v>43100</v>
      </c>
      <c r="F13" s="12">
        <v>43183</v>
      </c>
      <c r="G13" s="103">
        <f>F13/D13*100</f>
        <v>100.19257540603247</v>
      </c>
      <c r="H13" s="94">
        <f t="shared" si="0"/>
        <v>100.19257540603247</v>
      </c>
    </row>
    <row r="14" spans="1:8" ht="12.75">
      <c r="A14" s="43" t="s">
        <v>56</v>
      </c>
      <c r="B14" s="12"/>
      <c r="C14" s="12"/>
      <c r="D14" s="12"/>
      <c r="E14" s="12">
        <v>0</v>
      </c>
      <c r="F14" s="12"/>
      <c r="G14" s="103"/>
      <c r="H14" s="94"/>
    </row>
    <row r="15" spans="1:8" ht="12.75">
      <c r="A15" s="11" t="s">
        <v>11</v>
      </c>
      <c r="B15" s="12">
        <v>8514</v>
      </c>
      <c r="C15" s="12">
        <v>8700</v>
      </c>
      <c r="D15" s="12">
        <v>8700</v>
      </c>
      <c r="E15" s="12">
        <v>8700</v>
      </c>
      <c r="F15" s="12">
        <v>11502</v>
      </c>
      <c r="G15" s="103">
        <f>F15/D15*100</f>
        <v>132.20689655172413</v>
      </c>
      <c r="H15" s="94">
        <f t="shared" si="0"/>
        <v>132.20689655172413</v>
      </c>
    </row>
    <row r="16" spans="1:8" ht="12.75">
      <c r="A16" s="11" t="s">
        <v>12</v>
      </c>
      <c r="B16" s="12">
        <v>6955</v>
      </c>
      <c r="C16" s="12">
        <v>6000</v>
      </c>
      <c r="D16" s="12">
        <v>6000</v>
      </c>
      <c r="E16" s="12">
        <v>6000</v>
      </c>
      <c r="F16" s="12">
        <v>6787</v>
      </c>
      <c r="G16" s="103">
        <f>F16/D16*100</f>
        <v>113.11666666666666</v>
      </c>
      <c r="H16" s="94">
        <f t="shared" si="0"/>
        <v>113.11666666666666</v>
      </c>
    </row>
    <row r="17" spans="1:8" ht="12.75">
      <c r="A17" s="11" t="s">
        <v>13</v>
      </c>
      <c r="B17" s="12">
        <v>855</v>
      </c>
      <c r="C17" s="12">
        <v>740000</v>
      </c>
      <c r="D17" s="12">
        <v>740000</v>
      </c>
      <c r="E17" s="12">
        <v>740000</v>
      </c>
      <c r="F17" s="12">
        <v>918395</v>
      </c>
      <c r="G17" s="103">
        <f>F17/D17*100</f>
        <v>124.10743243243243</v>
      </c>
      <c r="H17" s="41">
        <f t="shared" si="0"/>
        <v>124.10743243243243</v>
      </c>
    </row>
    <row r="18" spans="1:8" ht="12.75">
      <c r="A18" s="11" t="s">
        <v>14</v>
      </c>
      <c r="B18" s="12">
        <v>8</v>
      </c>
      <c r="C18" s="12">
        <v>0</v>
      </c>
      <c r="D18" s="12"/>
      <c r="E18" s="12">
        <v>0</v>
      </c>
      <c r="F18" s="12">
        <v>48</v>
      </c>
      <c r="G18" s="103"/>
      <c r="H18" s="41"/>
    </row>
    <row r="19" spans="1:8" ht="12.75">
      <c r="A19" s="11" t="s">
        <v>15</v>
      </c>
      <c r="B19" s="12">
        <v>10174</v>
      </c>
      <c r="C19" s="12">
        <v>6100</v>
      </c>
      <c r="D19" s="12">
        <v>6100</v>
      </c>
      <c r="E19" s="12">
        <v>6311</v>
      </c>
      <c r="F19" s="12">
        <v>8933</v>
      </c>
      <c r="G19" s="103">
        <f>F19/D19*100</f>
        <v>146.44262295081967</v>
      </c>
      <c r="H19" s="41">
        <f t="shared" si="0"/>
        <v>141.5465061004595</v>
      </c>
    </row>
    <row r="20" spans="1:8" ht="12.75">
      <c r="A20" s="11" t="s">
        <v>62</v>
      </c>
      <c r="B20" s="12"/>
      <c r="C20" s="12">
        <v>7300</v>
      </c>
      <c r="D20" s="12">
        <v>7300</v>
      </c>
      <c r="E20" s="12">
        <v>7300</v>
      </c>
      <c r="F20" s="12">
        <v>9481</v>
      </c>
      <c r="G20" s="103">
        <f>F20/D20*100</f>
        <v>129.87671232876713</v>
      </c>
      <c r="H20" s="41">
        <f t="shared" si="0"/>
        <v>129.87671232876713</v>
      </c>
    </row>
    <row r="21" spans="1:8" ht="12.75">
      <c r="A21" s="44" t="s">
        <v>57</v>
      </c>
      <c r="B21" s="12"/>
      <c r="C21" s="12"/>
      <c r="D21" s="12"/>
      <c r="E21" s="12">
        <v>0</v>
      </c>
      <c r="F21" s="12"/>
      <c r="G21" s="103"/>
      <c r="H21" s="41"/>
    </row>
    <row r="22" spans="1:8" ht="12.75">
      <c r="A22" s="11" t="s">
        <v>16</v>
      </c>
      <c r="B22" s="12">
        <v>5503</v>
      </c>
      <c r="C22" s="12">
        <v>1500</v>
      </c>
      <c r="D22" s="12">
        <v>1500</v>
      </c>
      <c r="E22" s="12">
        <v>1500</v>
      </c>
      <c r="F22" s="12">
        <v>28248</v>
      </c>
      <c r="G22" s="103">
        <f>F22/D22*100</f>
        <v>1883.2</v>
      </c>
      <c r="H22" s="41">
        <f t="shared" si="0"/>
        <v>1883.2</v>
      </c>
    </row>
    <row r="23" spans="1:8" ht="12.75">
      <c r="A23" s="44" t="s">
        <v>58</v>
      </c>
      <c r="B23" s="12"/>
      <c r="C23" s="12"/>
      <c r="D23" s="12"/>
      <c r="E23" s="12">
        <v>0</v>
      </c>
      <c r="F23" s="12"/>
      <c r="G23" s="103"/>
      <c r="H23" s="41"/>
    </row>
    <row r="24" spans="1:8" ht="12.75" customHeight="1">
      <c r="A24" s="11" t="s">
        <v>17</v>
      </c>
      <c r="B24" s="12"/>
      <c r="C24" s="12"/>
      <c r="D24" s="12"/>
      <c r="E24" s="12">
        <v>0</v>
      </c>
      <c r="F24" s="12"/>
      <c r="G24" s="103"/>
      <c r="H24" s="41"/>
    </row>
    <row r="25" spans="1:8" ht="12.75" customHeight="1">
      <c r="A25" s="11" t="s">
        <v>72</v>
      </c>
      <c r="B25" s="12"/>
      <c r="C25" s="65"/>
      <c r="D25" s="65">
        <v>1693</v>
      </c>
      <c r="E25" s="12">
        <v>1693</v>
      </c>
      <c r="F25" s="12"/>
      <c r="G25" s="103">
        <f>F25/D25*100</f>
        <v>0</v>
      </c>
      <c r="H25" s="41">
        <f>F25/E25*100</f>
        <v>0</v>
      </c>
    </row>
    <row r="26" spans="1:8" ht="12.75" customHeight="1">
      <c r="A26" s="11" t="s">
        <v>59</v>
      </c>
      <c r="B26" s="12"/>
      <c r="C26" s="65">
        <v>25357</v>
      </c>
      <c r="D26" s="65">
        <v>25357</v>
      </c>
      <c r="E26" s="12">
        <v>25357</v>
      </c>
      <c r="F26" s="12">
        <v>39136</v>
      </c>
      <c r="G26" s="103"/>
      <c r="H26" s="41">
        <f t="shared" si="0"/>
        <v>154.34002445084198</v>
      </c>
    </row>
    <row r="27" spans="1:8" ht="12.75" customHeight="1">
      <c r="A27" s="64" t="s">
        <v>61</v>
      </c>
      <c r="B27" s="65"/>
      <c r="C27" s="65"/>
      <c r="D27" s="65">
        <v>26184</v>
      </c>
      <c r="E27" s="65">
        <v>26184</v>
      </c>
      <c r="F27" s="65"/>
      <c r="G27" s="104"/>
      <c r="H27" s="66"/>
    </row>
    <row r="28" spans="1:8" ht="13.5" thickBot="1">
      <c r="A28" s="7" t="s">
        <v>18</v>
      </c>
      <c r="B28" s="13">
        <v>14263</v>
      </c>
      <c r="C28" s="13"/>
      <c r="D28" s="13"/>
      <c r="E28" s="13">
        <v>9553</v>
      </c>
      <c r="F28" s="13">
        <v>14112</v>
      </c>
      <c r="G28" s="106"/>
      <c r="H28" s="60">
        <f t="shared" si="0"/>
        <v>147.72322830524442</v>
      </c>
    </row>
    <row r="29" spans="1:8" ht="12.75">
      <c r="A29" s="5"/>
      <c r="B29" s="14"/>
      <c r="C29" s="14"/>
      <c r="D29" s="14"/>
      <c r="E29" s="14"/>
      <c r="F29" s="14"/>
      <c r="G29" s="31"/>
      <c r="H29" s="42"/>
    </row>
    <row r="30" spans="1:8" ht="12.75">
      <c r="A30" s="9" t="s">
        <v>19</v>
      </c>
      <c r="B30" s="58">
        <f>B32+B38</f>
        <v>4662360</v>
      </c>
      <c r="C30" s="10">
        <f>C32+C38</f>
        <v>4534932</v>
      </c>
      <c r="D30" s="10">
        <f>D32+D38</f>
        <v>4599648</v>
      </c>
      <c r="E30" s="10">
        <f>E32+E38</f>
        <v>4491284</v>
      </c>
      <c r="F30" s="10">
        <f>F32+F38</f>
        <v>4338739</v>
      </c>
      <c r="G30" s="111">
        <f>F30/D30*100</f>
        <v>94.32763115786251</v>
      </c>
      <c r="H30" s="116">
        <f aca="true" t="shared" si="1" ref="H30:H59">F30/E30*100</f>
        <v>96.60353253100895</v>
      </c>
    </row>
    <row r="31" spans="1:8" ht="12.75">
      <c r="A31" s="11" t="s">
        <v>20</v>
      </c>
      <c r="B31" s="12"/>
      <c r="C31" s="12"/>
      <c r="D31" s="12"/>
      <c r="E31" s="12"/>
      <c r="F31" s="12"/>
      <c r="G31" s="113"/>
      <c r="H31" s="114"/>
    </row>
    <row r="32" spans="1:8" ht="12.75">
      <c r="A32" s="59" t="s">
        <v>21</v>
      </c>
      <c r="B32" s="58">
        <f>B34+B35+B36</f>
        <v>253108</v>
      </c>
      <c r="C32" s="10">
        <f>C34+C35+C36</f>
        <v>225770</v>
      </c>
      <c r="D32" s="10">
        <f>D34+D35+D36</f>
        <v>183524</v>
      </c>
      <c r="E32" s="10">
        <f>E34+E35+E36</f>
        <v>182606</v>
      </c>
      <c r="F32" s="10">
        <f>F34+F35+F36</f>
        <v>156118</v>
      </c>
      <c r="G32" s="111">
        <f>F32/D32*100</f>
        <v>85.06680325189076</v>
      </c>
      <c r="H32" s="116">
        <f t="shared" si="1"/>
        <v>85.49445253715649</v>
      </c>
    </row>
    <row r="33" spans="1:8" ht="12.75">
      <c r="A33" s="11" t="s">
        <v>22</v>
      </c>
      <c r="B33" s="12"/>
      <c r="C33" s="12"/>
      <c r="D33" s="12"/>
      <c r="E33" s="12"/>
      <c r="F33" s="12"/>
      <c r="G33" s="113"/>
      <c r="H33" s="114"/>
    </row>
    <row r="34" spans="1:8" ht="12.75">
      <c r="A34" s="11" t="s">
        <v>23</v>
      </c>
      <c r="B34" s="12">
        <v>142325</v>
      </c>
      <c r="C34" s="12">
        <v>85080</v>
      </c>
      <c r="D34" s="12">
        <v>103208</v>
      </c>
      <c r="E34" s="12">
        <v>96046</v>
      </c>
      <c r="F34" s="12">
        <v>85389</v>
      </c>
      <c r="G34" s="113">
        <f>F34/D34*100</f>
        <v>82.73486551430122</v>
      </c>
      <c r="H34" s="114">
        <f t="shared" si="1"/>
        <v>88.90427503487912</v>
      </c>
    </row>
    <row r="35" spans="1:8" ht="12.75">
      <c r="A35" s="11" t="s">
        <v>24</v>
      </c>
      <c r="B35" s="12">
        <v>110014</v>
      </c>
      <c r="C35" s="12">
        <v>140690</v>
      </c>
      <c r="D35" s="12">
        <v>80316</v>
      </c>
      <c r="E35" s="12">
        <v>85784</v>
      </c>
      <c r="F35" s="12">
        <v>69954</v>
      </c>
      <c r="G35" s="113">
        <f>F35/D35*100</f>
        <v>87.09846107873898</v>
      </c>
      <c r="H35" s="114">
        <f t="shared" si="1"/>
        <v>81.5466753706985</v>
      </c>
    </row>
    <row r="36" spans="1:8" ht="12.75">
      <c r="A36" s="15" t="s">
        <v>25</v>
      </c>
      <c r="B36" s="16">
        <v>769</v>
      </c>
      <c r="C36" s="16">
        <v>0</v>
      </c>
      <c r="D36" s="16">
        <v>0</v>
      </c>
      <c r="E36" s="16">
        <v>776</v>
      </c>
      <c r="F36" s="16">
        <v>775</v>
      </c>
      <c r="G36" s="115">
        <v>0</v>
      </c>
      <c r="H36" s="116">
        <v>0</v>
      </c>
    </row>
    <row r="37" spans="1:8" ht="12.75">
      <c r="A37" s="5"/>
      <c r="B37" s="14"/>
      <c r="C37" s="14"/>
      <c r="D37" s="14"/>
      <c r="E37" s="14"/>
      <c r="F37" s="14"/>
      <c r="G37" s="117"/>
      <c r="H37" s="118"/>
    </row>
    <row r="38" spans="1:8" ht="12.75">
      <c r="A38" s="9" t="s">
        <v>26</v>
      </c>
      <c r="B38" s="58">
        <f>B40+B43+B44+B45+B46</f>
        <v>4409252</v>
      </c>
      <c r="C38" s="10">
        <f>C40+C46+C43+C44+C45</f>
        <v>4309162</v>
      </c>
      <c r="D38" s="10">
        <f>D40+D46+D43+D44+D45</f>
        <v>4416124</v>
      </c>
      <c r="E38" s="10">
        <f>E40+E46+E43+E44+E45</f>
        <v>4308678</v>
      </c>
      <c r="F38" s="10">
        <f>F40+F46+F43+F44+F45</f>
        <v>4182621</v>
      </c>
      <c r="G38" s="111">
        <f>F38/D38*100</f>
        <v>94.71248995725664</v>
      </c>
      <c r="H38" s="124">
        <f t="shared" si="1"/>
        <v>97.07434623798761</v>
      </c>
    </row>
    <row r="39" spans="1:8" ht="12.75">
      <c r="A39" s="11" t="s">
        <v>22</v>
      </c>
      <c r="B39" s="12"/>
      <c r="C39" s="12"/>
      <c r="D39" s="12"/>
      <c r="E39" s="12"/>
      <c r="F39" s="12"/>
      <c r="G39" s="113"/>
      <c r="H39" s="114"/>
    </row>
    <row r="40" spans="1:8" ht="12.75">
      <c r="A40" s="17" t="s">
        <v>27</v>
      </c>
      <c r="B40" s="22">
        <f>B41+B42</f>
        <v>2408649</v>
      </c>
      <c r="C40" s="18">
        <f>C41+C42</f>
        <v>2360376</v>
      </c>
      <c r="D40" s="18">
        <f>D41+D42</f>
        <v>2364099</v>
      </c>
      <c r="E40" s="18">
        <f>E41+E42</f>
        <v>2282076</v>
      </c>
      <c r="F40" s="18">
        <f>F41+F42</f>
        <v>2280084</v>
      </c>
      <c r="G40" s="119">
        <f aca="true" t="shared" si="2" ref="G40:G46">F40/D40*100</f>
        <v>96.446214815877</v>
      </c>
      <c r="H40" s="131">
        <f t="shared" si="1"/>
        <v>99.9127110578263</v>
      </c>
    </row>
    <row r="41" spans="1:8" ht="12.75">
      <c r="A41" s="11" t="s">
        <v>28</v>
      </c>
      <c r="B41" s="12">
        <v>2399803</v>
      </c>
      <c r="C41" s="12">
        <v>2351756</v>
      </c>
      <c r="D41" s="12">
        <v>2350987</v>
      </c>
      <c r="E41" s="12">
        <v>2269263</v>
      </c>
      <c r="F41" s="12">
        <v>2269263</v>
      </c>
      <c r="G41" s="113">
        <f t="shared" si="2"/>
        <v>96.52384296467824</v>
      </c>
      <c r="H41" s="114">
        <f t="shared" si="1"/>
        <v>100</v>
      </c>
    </row>
    <row r="42" spans="1:8" ht="12.75">
      <c r="A42" s="39" t="s">
        <v>29</v>
      </c>
      <c r="B42" s="12">
        <v>8846</v>
      </c>
      <c r="C42" s="12">
        <v>8620</v>
      </c>
      <c r="D42" s="12">
        <v>13112</v>
      </c>
      <c r="E42" s="12">
        <v>12813</v>
      </c>
      <c r="F42" s="12">
        <v>10821</v>
      </c>
      <c r="G42" s="113">
        <f t="shared" si="2"/>
        <v>82.5274557657108</v>
      </c>
      <c r="H42" s="114">
        <f t="shared" si="1"/>
        <v>84.45328962772184</v>
      </c>
    </row>
    <row r="43" spans="1:8" ht="12.75">
      <c r="A43" s="21" t="s">
        <v>30</v>
      </c>
      <c r="B43" s="22">
        <v>843027</v>
      </c>
      <c r="C43" s="22">
        <v>802528</v>
      </c>
      <c r="D43" s="22">
        <v>802267</v>
      </c>
      <c r="E43" s="22">
        <v>774379</v>
      </c>
      <c r="F43" s="22">
        <v>774379</v>
      </c>
      <c r="G43" s="132">
        <f t="shared" si="2"/>
        <v>96.52385053853642</v>
      </c>
      <c r="H43" s="131">
        <f t="shared" si="1"/>
        <v>100</v>
      </c>
    </row>
    <row r="44" spans="1:8" ht="12.75">
      <c r="A44" s="21" t="s">
        <v>31</v>
      </c>
      <c r="B44" s="22">
        <v>47996</v>
      </c>
      <c r="C44" s="22">
        <v>47035</v>
      </c>
      <c r="D44" s="22">
        <v>47020</v>
      </c>
      <c r="E44" s="22">
        <v>45386</v>
      </c>
      <c r="F44" s="22">
        <v>45386</v>
      </c>
      <c r="G44" s="132">
        <f t="shared" si="2"/>
        <v>96.52488302849851</v>
      </c>
      <c r="H44" s="131">
        <f t="shared" si="1"/>
        <v>100</v>
      </c>
    </row>
    <row r="45" spans="1:8" ht="12.75">
      <c r="A45" s="21" t="s">
        <v>50</v>
      </c>
      <c r="B45" s="22">
        <v>343323</v>
      </c>
      <c r="C45" s="18">
        <v>514710</v>
      </c>
      <c r="D45" s="22">
        <v>514710</v>
      </c>
      <c r="E45" s="22">
        <v>514710</v>
      </c>
      <c r="F45" s="22">
        <v>421599</v>
      </c>
      <c r="G45" s="132">
        <f t="shared" si="2"/>
        <v>81.91000757708224</v>
      </c>
      <c r="H45" s="131">
        <f t="shared" si="1"/>
        <v>81.91000757708224</v>
      </c>
    </row>
    <row r="46" spans="1:8" ht="12.75">
      <c r="A46" s="21" t="s">
        <v>33</v>
      </c>
      <c r="B46" s="22">
        <f>B48+B49+B50+B52+B56</f>
        <v>766257</v>
      </c>
      <c r="C46" s="18">
        <f>C48+C49+C50+C52+C56</f>
        <v>584513</v>
      </c>
      <c r="D46" s="18">
        <f>D48+D49+D50+D52+D56</f>
        <v>688028</v>
      </c>
      <c r="E46" s="18">
        <f>E48+E49+E50+E52+E56</f>
        <v>692127</v>
      </c>
      <c r="F46" s="18">
        <f>F48+F49+F50+F52+F56</f>
        <v>661173</v>
      </c>
      <c r="G46" s="119">
        <f t="shared" si="2"/>
        <v>96.09681582726284</v>
      </c>
      <c r="H46" s="131">
        <f t="shared" si="1"/>
        <v>95.52769939620907</v>
      </c>
    </row>
    <row r="47" spans="1:8" ht="12.75">
      <c r="A47" s="11" t="s">
        <v>34</v>
      </c>
      <c r="B47" s="12"/>
      <c r="C47" s="12"/>
      <c r="D47" s="12"/>
      <c r="E47" s="12"/>
      <c r="F47" s="12"/>
      <c r="G47" s="113"/>
      <c r="H47" s="114"/>
    </row>
    <row r="48" spans="1:8" ht="12.75">
      <c r="A48" s="11" t="s">
        <v>35</v>
      </c>
      <c r="B48" s="12">
        <v>109594</v>
      </c>
      <c r="C48" s="12">
        <v>45791</v>
      </c>
      <c r="D48" s="12">
        <v>73670</v>
      </c>
      <c r="E48" s="12">
        <v>74046</v>
      </c>
      <c r="F48" s="12">
        <v>68347</v>
      </c>
      <c r="G48" s="113">
        <f aca="true" t="shared" si="3" ref="G48:G59">F48/D48*100</f>
        <v>92.77453508891</v>
      </c>
      <c r="H48" s="114">
        <f t="shared" si="1"/>
        <v>92.30343300110742</v>
      </c>
    </row>
    <row r="49" spans="1:8" ht="12.75">
      <c r="A49" s="11" t="s">
        <v>36</v>
      </c>
      <c r="B49" s="12">
        <v>124885</v>
      </c>
      <c r="C49" s="12">
        <v>112722</v>
      </c>
      <c r="D49" s="12">
        <v>115181</v>
      </c>
      <c r="E49" s="12">
        <v>115181</v>
      </c>
      <c r="F49" s="12">
        <v>114903</v>
      </c>
      <c r="G49" s="113">
        <f t="shared" si="3"/>
        <v>99.75864074804004</v>
      </c>
      <c r="H49" s="114">
        <f t="shared" si="1"/>
        <v>99.75864074804004</v>
      </c>
    </row>
    <row r="50" spans="1:8" ht="12.75">
      <c r="A50" s="11" t="s">
        <v>37</v>
      </c>
      <c r="B50" s="12">
        <v>370422</v>
      </c>
      <c r="C50" s="12">
        <v>296664</v>
      </c>
      <c r="D50" s="12">
        <v>335277</v>
      </c>
      <c r="E50" s="12">
        <v>348064</v>
      </c>
      <c r="F50" s="12">
        <v>337844</v>
      </c>
      <c r="G50" s="113">
        <f t="shared" si="3"/>
        <v>100.76563557893921</v>
      </c>
      <c r="H50" s="114">
        <f t="shared" si="1"/>
        <v>97.06375838926175</v>
      </c>
    </row>
    <row r="51" spans="1:8" ht="12.75">
      <c r="A51" s="11" t="s">
        <v>38</v>
      </c>
      <c r="B51" s="12">
        <v>73362</v>
      </c>
      <c r="C51" s="12">
        <v>68483</v>
      </c>
      <c r="D51" s="12">
        <v>71729</v>
      </c>
      <c r="E51" s="12">
        <v>71729</v>
      </c>
      <c r="F51" s="12">
        <v>71698</v>
      </c>
      <c r="G51" s="113">
        <f t="shared" si="3"/>
        <v>99.95678177585077</v>
      </c>
      <c r="H51" s="114">
        <f t="shared" si="1"/>
        <v>99.95678177585077</v>
      </c>
    </row>
    <row r="52" spans="1:8" ht="12.75">
      <c r="A52" s="11" t="s">
        <v>39</v>
      </c>
      <c r="B52" s="12">
        <v>109501</v>
      </c>
      <c r="C52" s="12">
        <v>76484</v>
      </c>
      <c r="D52" s="12">
        <v>88256</v>
      </c>
      <c r="E52" s="12">
        <v>100510</v>
      </c>
      <c r="F52" s="12">
        <v>93096</v>
      </c>
      <c r="G52" s="113">
        <f t="shared" si="3"/>
        <v>105.48404641044236</v>
      </c>
      <c r="H52" s="114">
        <f t="shared" si="1"/>
        <v>92.62361954034425</v>
      </c>
    </row>
    <row r="53" spans="1:8" ht="12.75">
      <c r="A53" s="11" t="s">
        <v>40</v>
      </c>
      <c r="B53" s="12">
        <v>53818</v>
      </c>
      <c r="C53" s="12">
        <v>43033</v>
      </c>
      <c r="D53" s="12">
        <v>50475</v>
      </c>
      <c r="E53" s="12">
        <v>50596</v>
      </c>
      <c r="F53" s="12">
        <v>46018</v>
      </c>
      <c r="G53" s="113">
        <f t="shared" si="3"/>
        <v>91.16988608221892</v>
      </c>
      <c r="H53" s="114">
        <f t="shared" si="1"/>
        <v>90.95185390149419</v>
      </c>
    </row>
    <row r="54" spans="1:8" ht="12.75">
      <c r="A54" s="11" t="s">
        <v>41</v>
      </c>
      <c r="B54" s="12">
        <v>1611</v>
      </c>
      <c r="C54" s="12">
        <v>1500</v>
      </c>
      <c r="D54" s="12">
        <v>1700</v>
      </c>
      <c r="E54" s="12">
        <v>2212</v>
      </c>
      <c r="F54" s="12">
        <v>1604</v>
      </c>
      <c r="G54" s="113">
        <f t="shared" si="3"/>
        <v>94.35294117647058</v>
      </c>
      <c r="H54" s="114">
        <f t="shared" si="1"/>
        <v>72.51356238698011</v>
      </c>
    </row>
    <row r="55" spans="1:8" ht="12.75">
      <c r="A55" s="11" t="s">
        <v>42</v>
      </c>
      <c r="B55" s="12">
        <v>37200</v>
      </c>
      <c r="C55" s="12">
        <v>24717</v>
      </c>
      <c r="D55" s="12">
        <v>28050</v>
      </c>
      <c r="E55" s="12">
        <v>36876</v>
      </c>
      <c r="F55" s="12">
        <v>34760</v>
      </c>
      <c r="G55" s="113">
        <f t="shared" si="3"/>
        <v>123.92156862745098</v>
      </c>
      <c r="H55" s="114">
        <f t="shared" si="1"/>
        <v>94.26185052608743</v>
      </c>
    </row>
    <row r="56" spans="1:8" ht="13.5" thickBot="1">
      <c r="A56" s="37" t="s">
        <v>43</v>
      </c>
      <c r="B56" s="38">
        <v>51855</v>
      </c>
      <c r="C56" s="38">
        <f>300+8688+40839+2960+65</f>
        <v>52852</v>
      </c>
      <c r="D56" s="38">
        <v>75644</v>
      </c>
      <c r="E56" s="38">
        <v>54326</v>
      </c>
      <c r="F56" s="38">
        <v>46983</v>
      </c>
      <c r="G56" s="128">
        <f t="shared" si="3"/>
        <v>62.11067632594786</v>
      </c>
      <c r="H56" s="122">
        <f t="shared" si="1"/>
        <v>86.48345175422449</v>
      </c>
    </row>
    <row r="57" spans="1:8" ht="12.75">
      <c r="A57" s="11" t="s">
        <v>44</v>
      </c>
      <c r="B57" s="12">
        <v>6202</v>
      </c>
      <c r="C57" s="12">
        <v>6269</v>
      </c>
      <c r="D57" s="12">
        <v>6266</v>
      </c>
      <c r="E57" s="45">
        <v>6266</v>
      </c>
      <c r="F57" s="12">
        <v>5890</v>
      </c>
      <c r="G57" s="113">
        <f t="shared" si="3"/>
        <v>93.9993616342164</v>
      </c>
      <c r="H57" s="114">
        <f t="shared" si="1"/>
        <v>93.9993616342164</v>
      </c>
    </row>
    <row r="58" spans="1:8" ht="12.75">
      <c r="A58" s="11" t="s">
        <v>45</v>
      </c>
      <c r="B58" s="12">
        <f>B41/B57/12*1000</f>
        <v>32245.015048908954</v>
      </c>
      <c r="C58" s="12">
        <f>C41/C57/12*1000</f>
        <v>31261.71106502898</v>
      </c>
      <c r="D58" s="12">
        <f>D41/D57/12*1000</f>
        <v>31266.4512182147</v>
      </c>
      <c r="E58" s="45">
        <f>E41/E57/12*1000</f>
        <v>30179.580274497286</v>
      </c>
      <c r="F58" s="12">
        <f>F41/F57/12*1000</f>
        <v>32106.154499151104</v>
      </c>
      <c r="G58" s="113">
        <f t="shared" si="3"/>
        <v>102.68563667515687</v>
      </c>
      <c r="H58" s="114">
        <f t="shared" si="1"/>
        <v>106.38370118845502</v>
      </c>
    </row>
    <row r="59" spans="1:8" ht="13.5" thickBot="1">
      <c r="A59" s="7" t="s">
        <v>46</v>
      </c>
      <c r="B59" s="13">
        <f>B46/B57*1000</f>
        <v>123549.98387616898</v>
      </c>
      <c r="C59" s="13">
        <f>C46/C57*1000</f>
        <v>93238.63455096506</v>
      </c>
      <c r="D59" s="13">
        <f>D46/D57*1000</f>
        <v>109803.38333865305</v>
      </c>
      <c r="E59" s="13">
        <f>E46/E57*1000</f>
        <v>110457.548675391</v>
      </c>
      <c r="F59" s="13">
        <f>F46/F57*1000</f>
        <v>112253.480475382</v>
      </c>
      <c r="G59" s="129">
        <f t="shared" si="3"/>
        <v>102.23134940129526</v>
      </c>
      <c r="H59" s="130">
        <f t="shared" si="1"/>
        <v>101.6259022778686</v>
      </c>
    </row>
  </sheetData>
  <mergeCells count="1">
    <mergeCell ref="C4:H4"/>
  </mergeCells>
  <printOptions/>
  <pageMargins left="0.984251968503937" right="0" top="0.984251968503937" bottom="0.3937007874015748" header="0.31496062992125984" footer="0.5118110236220472"/>
  <pageSetup horizontalDpi="600" verticalDpi="600" orientation="portrait" paperSize="9" scale="95" r:id="rId1"/>
  <headerFooter alignWithMargins="0">
    <oddHeader>&amp;R&amp;"Arial CE,Tučné"&amp;12&amp;UPříloha č. 3 c)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3">
      <selection activeCell="L15" sqref="L15"/>
    </sheetView>
  </sheetViews>
  <sheetFormatPr defaultColWidth="9.125" defaultRowHeight="12.75"/>
  <cols>
    <col min="1" max="1" width="33.125" style="2" customWidth="1"/>
    <col min="2" max="2" width="10.75390625" style="34" hidden="1" customWidth="1"/>
    <col min="3" max="4" width="11.125" style="2" customWidth="1"/>
    <col min="5" max="5" width="11.875" style="2" customWidth="1"/>
    <col min="6" max="6" width="11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52</v>
      </c>
      <c r="B1" s="33"/>
    </row>
    <row r="2" ht="12.75">
      <c r="A2" s="2" t="s">
        <v>71</v>
      </c>
    </row>
    <row r="3" spans="6:8" ht="13.5" thickBot="1">
      <c r="F3" s="3"/>
      <c r="H3" s="24"/>
    </row>
    <row r="4" spans="1:8" ht="12.75">
      <c r="A4" s="4"/>
      <c r="B4" s="36">
        <v>2008</v>
      </c>
      <c r="C4" s="152">
        <v>2010</v>
      </c>
      <c r="D4" s="153"/>
      <c r="E4" s="153"/>
      <c r="F4" s="153"/>
      <c r="G4" s="153"/>
      <c r="H4" s="154"/>
    </row>
    <row r="5" spans="1:8" ht="12.75">
      <c r="A5" s="5" t="s">
        <v>1</v>
      </c>
      <c r="B5" s="35" t="s">
        <v>2</v>
      </c>
      <c r="C5" s="97" t="s">
        <v>63</v>
      </c>
      <c r="D5" s="85"/>
      <c r="E5" s="27"/>
      <c r="F5" s="25" t="s">
        <v>2</v>
      </c>
      <c r="G5" s="25" t="s">
        <v>3</v>
      </c>
      <c r="H5" s="98" t="s">
        <v>3</v>
      </c>
    </row>
    <row r="6" spans="1:8" ht="13.5" thickBot="1">
      <c r="A6" s="7"/>
      <c r="B6" s="28" t="s">
        <v>66</v>
      </c>
      <c r="C6" s="99" t="s">
        <v>4</v>
      </c>
      <c r="D6" s="26" t="s">
        <v>64</v>
      </c>
      <c r="E6" s="96" t="s">
        <v>68</v>
      </c>
      <c r="F6" s="28" t="s">
        <v>66</v>
      </c>
      <c r="G6" s="26" t="s">
        <v>70</v>
      </c>
      <c r="H6" s="100" t="s">
        <v>69</v>
      </c>
    </row>
    <row r="7" spans="1:8" ht="13.5" thickBot="1">
      <c r="A7" s="7" t="s">
        <v>5</v>
      </c>
      <c r="B7" s="28">
        <v>1</v>
      </c>
      <c r="C7" s="99">
        <v>2</v>
      </c>
      <c r="D7" s="8">
        <v>3</v>
      </c>
      <c r="E7" s="8">
        <v>4</v>
      </c>
      <c r="F7" s="8">
        <v>5</v>
      </c>
      <c r="G7" s="28" t="s">
        <v>65</v>
      </c>
      <c r="H7" s="19" t="s">
        <v>67</v>
      </c>
    </row>
    <row r="8" spans="1:8" ht="12.75">
      <c r="A8" s="15" t="s">
        <v>6</v>
      </c>
      <c r="B8" s="58">
        <f>SUM(B10:B28)</f>
        <v>1194908</v>
      </c>
      <c r="C8" s="101">
        <f>SUM(C10:C28)</f>
        <v>584815</v>
      </c>
      <c r="D8" s="10">
        <f>SUM(D10:D28)</f>
        <v>584815</v>
      </c>
      <c r="E8" s="40">
        <f>SUM(E10:E28)</f>
        <v>584815</v>
      </c>
      <c r="F8" s="40">
        <f>SUM(F10:F28)</f>
        <v>1352535</v>
      </c>
      <c r="G8" s="143">
        <f>F8/D8*100</f>
        <v>231.27570257260842</v>
      </c>
      <c r="H8" s="95">
        <f>F8/E8*100</f>
        <v>231.27570257260842</v>
      </c>
    </row>
    <row r="9" spans="1:8" ht="12.75">
      <c r="A9" s="11" t="s">
        <v>7</v>
      </c>
      <c r="B9" s="12"/>
      <c r="C9" s="47"/>
      <c r="D9" s="12"/>
      <c r="E9" s="12"/>
      <c r="F9" s="12"/>
      <c r="G9" s="103"/>
      <c r="H9" s="94"/>
    </row>
    <row r="10" spans="1:8" ht="12.75">
      <c r="A10" s="11" t="s">
        <v>60</v>
      </c>
      <c r="B10" s="12"/>
      <c r="C10" s="12"/>
      <c r="D10" s="12"/>
      <c r="E10" s="12">
        <v>0</v>
      </c>
      <c r="F10" s="12"/>
      <c r="G10" s="103"/>
      <c r="H10" s="94"/>
    </row>
    <row r="11" spans="1:8" ht="12.75">
      <c r="A11" s="11" t="s">
        <v>8</v>
      </c>
      <c r="B11" s="12"/>
      <c r="C11" s="12"/>
      <c r="D11" s="12"/>
      <c r="E11" s="12">
        <v>0</v>
      </c>
      <c r="F11" s="12"/>
      <c r="G11" s="103"/>
      <c r="H11" s="94"/>
    </row>
    <row r="12" spans="1:9" ht="12.75">
      <c r="A12" s="11" t="s">
        <v>9</v>
      </c>
      <c r="B12" s="12"/>
      <c r="C12" s="12"/>
      <c r="D12" s="12"/>
      <c r="E12" s="12">
        <v>0</v>
      </c>
      <c r="F12" s="12"/>
      <c r="G12" s="103"/>
      <c r="H12" s="94"/>
      <c r="I12" s="34"/>
    </row>
    <row r="13" spans="1:9" ht="12.75">
      <c r="A13" s="11" t="s">
        <v>10</v>
      </c>
      <c r="B13" s="12">
        <v>4079</v>
      </c>
      <c r="C13" s="12"/>
      <c r="D13" s="12">
        <v>1751</v>
      </c>
      <c r="E13" s="12">
        <v>1751</v>
      </c>
      <c r="F13" s="12">
        <v>5275</v>
      </c>
      <c r="G13" s="103">
        <f>F13/D13*100</f>
        <v>301.2564249000571</v>
      </c>
      <c r="H13" s="94">
        <f>F13/E13*100</f>
        <v>301.2564249000571</v>
      </c>
      <c r="I13" s="2" t="s">
        <v>53</v>
      </c>
    </row>
    <row r="14" spans="1:8" ht="12.75">
      <c r="A14" s="43" t="s">
        <v>56</v>
      </c>
      <c r="B14" s="12"/>
      <c r="C14" s="12"/>
      <c r="D14" s="12"/>
      <c r="E14" s="12">
        <v>0</v>
      </c>
      <c r="F14" s="12"/>
      <c r="G14" s="103"/>
      <c r="H14" s="94"/>
    </row>
    <row r="15" spans="1:8" ht="12.75">
      <c r="A15" s="11" t="s">
        <v>11</v>
      </c>
      <c r="B15" s="12">
        <v>171475</v>
      </c>
      <c r="C15" s="12">
        <v>109900</v>
      </c>
      <c r="D15" s="12">
        <v>82917</v>
      </c>
      <c r="E15" s="12">
        <v>82917</v>
      </c>
      <c r="F15" s="12">
        <v>206096</v>
      </c>
      <c r="G15" s="103">
        <f>F15/D15*100</f>
        <v>248.55699072566543</v>
      </c>
      <c r="H15" s="94">
        <f>F15/E15*100</f>
        <v>248.55699072566543</v>
      </c>
    </row>
    <row r="16" spans="1:8" ht="12.75">
      <c r="A16" s="11" t="s">
        <v>12</v>
      </c>
      <c r="B16" s="12">
        <v>533</v>
      </c>
      <c r="C16" s="12">
        <v>100</v>
      </c>
      <c r="D16" s="12">
        <v>110</v>
      </c>
      <c r="E16" s="12">
        <v>110</v>
      </c>
      <c r="F16" s="12">
        <v>258</v>
      </c>
      <c r="G16" s="103">
        <f>F16/D16*100</f>
        <v>234.54545454545453</v>
      </c>
      <c r="H16" s="94">
        <f>F16/E16*100</f>
        <v>234.54545454545453</v>
      </c>
    </row>
    <row r="17" spans="1:8" ht="12.75">
      <c r="A17" s="11" t="s">
        <v>13</v>
      </c>
      <c r="B17" s="12">
        <v>82</v>
      </c>
      <c r="C17" s="12"/>
      <c r="D17" s="12">
        <v>55</v>
      </c>
      <c r="E17" s="12">
        <v>55</v>
      </c>
      <c r="F17" s="12">
        <v>3766</v>
      </c>
      <c r="G17" s="103">
        <f>F17/D17*100</f>
        <v>6847.272727272727</v>
      </c>
      <c r="H17" s="41">
        <f>F17/E17*100</f>
        <v>6847.272727272727</v>
      </c>
    </row>
    <row r="18" spans="1:8" ht="12.75">
      <c r="A18" s="11" t="s">
        <v>14</v>
      </c>
      <c r="B18" s="12">
        <v>8384</v>
      </c>
      <c r="C18" s="12">
        <v>2000</v>
      </c>
      <c r="D18" s="12">
        <v>682</v>
      </c>
      <c r="E18" s="12">
        <v>682</v>
      </c>
      <c r="F18" s="12">
        <v>2999</v>
      </c>
      <c r="G18" s="103">
        <f>F18/D18*100</f>
        <v>439.7360703812317</v>
      </c>
      <c r="H18" s="41">
        <f>F18/E18*100</f>
        <v>439.7360703812317</v>
      </c>
    </row>
    <row r="19" spans="1:8" ht="12.75">
      <c r="A19" s="11" t="s">
        <v>15</v>
      </c>
      <c r="B19" s="12">
        <v>169042</v>
      </c>
      <c r="C19" s="12">
        <v>90000</v>
      </c>
      <c r="D19" s="12">
        <v>42970</v>
      </c>
      <c r="E19" s="12">
        <v>42970</v>
      </c>
      <c r="F19" s="12">
        <v>136754</v>
      </c>
      <c r="G19" s="103">
        <f>F19/D19*100</f>
        <v>318.25459622992787</v>
      </c>
      <c r="H19" s="41">
        <f>F19/E19*100</f>
        <v>318.25459622992787</v>
      </c>
    </row>
    <row r="20" spans="1:8" ht="12.75">
      <c r="A20" s="11" t="s">
        <v>62</v>
      </c>
      <c r="B20" s="12"/>
      <c r="C20" s="12"/>
      <c r="D20" s="12"/>
      <c r="E20" s="12">
        <v>0</v>
      </c>
      <c r="F20" s="12"/>
      <c r="G20" s="103"/>
      <c r="H20" s="41"/>
    </row>
    <row r="21" spans="1:8" ht="12.75">
      <c r="A21" s="44" t="s">
        <v>57</v>
      </c>
      <c r="B21" s="12"/>
      <c r="C21" s="12"/>
      <c r="D21" s="12"/>
      <c r="E21" s="12">
        <v>0</v>
      </c>
      <c r="F21" s="12"/>
      <c r="G21" s="103"/>
      <c r="H21" s="41"/>
    </row>
    <row r="22" spans="1:8" ht="12.75">
      <c r="A22" s="11" t="s">
        <v>16</v>
      </c>
      <c r="B22" s="12">
        <v>702876</v>
      </c>
      <c r="C22" s="12">
        <v>295000</v>
      </c>
      <c r="D22" s="12">
        <v>368215</v>
      </c>
      <c r="E22" s="12">
        <v>368215</v>
      </c>
      <c r="F22" s="12">
        <v>964625</v>
      </c>
      <c r="G22" s="103">
        <f>F22/D22*100</f>
        <v>261.97330364053613</v>
      </c>
      <c r="H22" s="41">
        <f>F22/E22*100</f>
        <v>261.97330364053613</v>
      </c>
    </row>
    <row r="23" spans="1:8" ht="12.75">
      <c r="A23" s="44" t="s">
        <v>58</v>
      </c>
      <c r="B23" s="12">
        <v>35702</v>
      </c>
      <c r="C23" s="12">
        <v>8000</v>
      </c>
      <c r="D23" s="12">
        <v>8050</v>
      </c>
      <c r="E23" s="12">
        <v>8050</v>
      </c>
      <c r="F23" s="12">
        <v>29085</v>
      </c>
      <c r="G23" s="103">
        <f>F23/D23*100</f>
        <v>361.30434782608694</v>
      </c>
      <c r="H23" s="41">
        <f>F23/E23*100</f>
        <v>361.30434782608694</v>
      </c>
    </row>
    <row r="24" spans="1:8" ht="12.75" customHeight="1">
      <c r="A24" s="11" t="s">
        <v>17</v>
      </c>
      <c r="B24" s="12"/>
      <c r="C24" s="12"/>
      <c r="D24" s="12">
        <v>250</v>
      </c>
      <c r="E24" s="12">
        <v>250</v>
      </c>
      <c r="F24" s="12"/>
      <c r="G24" s="103"/>
      <c r="H24" s="41"/>
    </row>
    <row r="25" spans="1:8" ht="12.75" customHeight="1">
      <c r="A25" s="11" t="s">
        <v>72</v>
      </c>
      <c r="B25" s="12"/>
      <c r="C25" s="65"/>
      <c r="D25" s="65"/>
      <c r="E25" s="12">
        <v>0</v>
      </c>
      <c r="F25" s="12"/>
      <c r="G25" s="103"/>
      <c r="H25" s="41"/>
    </row>
    <row r="26" spans="1:8" ht="12.75" customHeight="1">
      <c r="A26" s="11" t="s">
        <v>59</v>
      </c>
      <c r="B26" s="12"/>
      <c r="C26" s="65"/>
      <c r="D26" s="65"/>
      <c r="E26" s="12">
        <v>0</v>
      </c>
      <c r="F26" s="12"/>
      <c r="G26" s="103"/>
      <c r="H26" s="41"/>
    </row>
    <row r="27" spans="1:8" ht="12.75" customHeight="1">
      <c r="A27" s="64" t="s">
        <v>61</v>
      </c>
      <c r="B27" s="65"/>
      <c r="C27" s="65">
        <v>79815</v>
      </c>
      <c r="D27" s="65">
        <v>79815</v>
      </c>
      <c r="E27" s="65">
        <v>79815</v>
      </c>
      <c r="F27" s="65">
        <v>0</v>
      </c>
      <c r="G27" s="104"/>
      <c r="H27" s="66"/>
    </row>
    <row r="28" spans="1:8" ht="13.5" thickBot="1">
      <c r="A28" s="7" t="s">
        <v>18</v>
      </c>
      <c r="B28" s="13">
        <v>102735</v>
      </c>
      <c r="C28" s="13"/>
      <c r="D28" s="13"/>
      <c r="E28" s="13">
        <v>0</v>
      </c>
      <c r="F28" s="13">
        <v>3677</v>
      </c>
      <c r="G28" s="106"/>
      <c r="H28" s="60"/>
    </row>
    <row r="29" spans="1:8" ht="12.75">
      <c r="A29" s="5"/>
      <c r="B29" s="14"/>
      <c r="C29" s="14"/>
      <c r="D29" s="14"/>
      <c r="E29" s="14"/>
      <c r="F29" s="14"/>
      <c r="G29" s="31"/>
      <c r="H29" s="61"/>
    </row>
    <row r="30" spans="1:8" ht="12.75">
      <c r="A30" s="59" t="s">
        <v>19</v>
      </c>
      <c r="B30" s="58">
        <f>B32+B38</f>
        <v>1812848</v>
      </c>
      <c r="C30" s="10">
        <f>C32+C38</f>
        <v>1738936</v>
      </c>
      <c r="D30" s="10">
        <f>D32+D38</f>
        <v>1763763</v>
      </c>
      <c r="E30" s="10">
        <f>E32+E38</f>
        <v>1740536</v>
      </c>
      <c r="F30" s="10">
        <f>F32+F38</f>
        <v>1627668</v>
      </c>
      <c r="G30" s="111">
        <f>F30/D30*100</f>
        <v>92.28382724889909</v>
      </c>
      <c r="H30" s="124">
        <f aca="true" t="shared" si="0" ref="H30:H59">F30/E30*100</f>
        <v>93.5153309095589</v>
      </c>
    </row>
    <row r="31" spans="1:8" ht="12.75">
      <c r="A31" s="11" t="s">
        <v>20</v>
      </c>
      <c r="B31" s="12"/>
      <c r="C31" s="12"/>
      <c r="D31" s="12"/>
      <c r="E31" s="12"/>
      <c r="F31" s="12"/>
      <c r="G31" s="113"/>
      <c r="H31" s="131"/>
    </row>
    <row r="32" spans="1:8" ht="12.75">
      <c r="A32" s="59" t="s">
        <v>21</v>
      </c>
      <c r="B32" s="58">
        <f>B34+B35+B36</f>
        <v>111628</v>
      </c>
      <c r="C32" s="10">
        <f>C34+C35+C36</f>
        <v>128600</v>
      </c>
      <c r="D32" s="10">
        <f>D34+D35+D36</f>
        <v>163321</v>
      </c>
      <c r="E32" s="10">
        <f>E34+E35+E36</f>
        <v>208426</v>
      </c>
      <c r="F32" s="10">
        <f>F34+F35+F36</f>
        <v>125132</v>
      </c>
      <c r="G32" s="111">
        <f>F32/D32*100</f>
        <v>76.61721395289032</v>
      </c>
      <c r="H32" s="124">
        <f t="shared" si="0"/>
        <v>60.03665569554663</v>
      </c>
    </row>
    <row r="33" spans="1:8" ht="12.75">
      <c r="A33" s="11" t="s">
        <v>22</v>
      </c>
      <c r="B33" s="12"/>
      <c r="C33" s="12"/>
      <c r="D33" s="12"/>
      <c r="E33" s="12"/>
      <c r="F33" s="12"/>
      <c r="G33" s="113"/>
      <c r="H33" s="114"/>
    </row>
    <row r="34" spans="1:8" ht="12.75">
      <c r="A34" s="11" t="s">
        <v>23</v>
      </c>
      <c r="B34" s="12">
        <v>34307</v>
      </c>
      <c r="C34" s="12">
        <v>97400</v>
      </c>
      <c r="D34" s="12">
        <v>129636</v>
      </c>
      <c r="E34" s="12">
        <v>168085</v>
      </c>
      <c r="F34" s="12">
        <v>87723</v>
      </c>
      <c r="G34" s="113">
        <f>F34/D34*100</f>
        <v>67.66870313801722</v>
      </c>
      <c r="H34" s="114">
        <f t="shared" si="0"/>
        <v>52.189665942826544</v>
      </c>
    </row>
    <row r="35" spans="1:8" ht="12.75">
      <c r="A35" s="11" t="s">
        <v>24</v>
      </c>
      <c r="B35" s="12">
        <v>77215</v>
      </c>
      <c r="C35" s="12">
        <v>31200</v>
      </c>
      <c r="D35" s="12">
        <v>33141</v>
      </c>
      <c r="E35" s="12">
        <v>39797</v>
      </c>
      <c r="F35" s="12">
        <v>36288</v>
      </c>
      <c r="G35" s="113">
        <f>F35/D35*100</f>
        <v>109.4957907124106</v>
      </c>
      <c r="H35" s="114">
        <f t="shared" si="0"/>
        <v>91.18275246877904</v>
      </c>
    </row>
    <row r="36" spans="1:8" ht="12.75">
      <c r="A36" s="15" t="s">
        <v>25</v>
      </c>
      <c r="B36" s="16">
        <v>106</v>
      </c>
      <c r="C36" s="16"/>
      <c r="D36" s="16">
        <v>544</v>
      </c>
      <c r="E36" s="16">
        <v>544</v>
      </c>
      <c r="F36" s="16">
        <v>1121</v>
      </c>
      <c r="G36" s="115">
        <f>F36/D36*100</f>
        <v>206.06617647058823</v>
      </c>
      <c r="H36" s="116">
        <f t="shared" si="0"/>
        <v>206.06617647058823</v>
      </c>
    </row>
    <row r="37" spans="1:8" ht="12.75">
      <c r="A37" s="5"/>
      <c r="B37" s="14"/>
      <c r="C37" s="14"/>
      <c r="D37" s="14"/>
      <c r="E37" s="14"/>
      <c r="F37" s="14"/>
      <c r="G37" s="117"/>
      <c r="H37" s="118"/>
    </row>
    <row r="38" spans="1:8" ht="12.75">
      <c r="A38" s="59" t="s">
        <v>26</v>
      </c>
      <c r="B38" s="58">
        <f>B40+B43+B44+B45+B46</f>
        <v>1701220</v>
      </c>
      <c r="C38" s="10">
        <f>C40+C46+C43+C44+C45</f>
        <v>1610336</v>
      </c>
      <c r="D38" s="10">
        <f>D40+D46+D43+D44+D45</f>
        <v>1600442</v>
      </c>
      <c r="E38" s="10">
        <f>E40+E46+E43+E44+E45</f>
        <v>1532110</v>
      </c>
      <c r="F38" s="10">
        <f>F40+F46+F43+F44+F45</f>
        <v>1502536</v>
      </c>
      <c r="G38" s="111">
        <f>F38/D38*100</f>
        <v>93.88256494143494</v>
      </c>
      <c r="H38" s="124">
        <f t="shared" si="0"/>
        <v>98.06972084249826</v>
      </c>
    </row>
    <row r="39" spans="1:8" ht="12.75">
      <c r="A39" s="11" t="s">
        <v>22</v>
      </c>
      <c r="B39" s="12"/>
      <c r="C39" s="12"/>
      <c r="D39" s="12"/>
      <c r="E39" s="12"/>
      <c r="F39" s="12"/>
      <c r="G39" s="113"/>
      <c r="H39" s="114"/>
    </row>
    <row r="40" spans="1:8" ht="12.75">
      <c r="A40" s="17" t="s">
        <v>27</v>
      </c>
      <c r="B40" s="22">
        <f>B41+B42</f>
        <v>631435</v>
      </c>
      <c r="C40" s="18">
        <f>C41+C42</f>
        <v>685116</v>
      </c>
      <c r="D40" s="18">
        <f>D41+D42</f>
        <v>685116</v>
      </c>
      <c r="E40" s="18">
        <f>E41+E42</f>
        <v>665341</v>
      </c>
      <c r="F40" s="18">
        <f>F41+F42</f>
        <v>656491</v>
      </c>
      <c r="G40" s="119">
        <f>F40/D40*100</f>
        <v>95.82187541963697</v>
      </c>
      <c r="H40" s="131">
        <f t="shared" si="0"/>
        <v>98.66985500668079</v>
      </c>
    </row>
    <row r="41" spans="1:8" ht="12.75">
      <c r="A41" s="11" t="s">
        <v>28</v>
      </c>
      <c r="B41" s="12">
        <v>626145</v>
      </c>
      <c r="C41" s="12">
        <v>666786</v>
      </c>
      <c r="D41" s="12">
        <v>666786</v>
      </c>
      <c r="E41" s="12">
        <v>648862</v>
      </c>
      <c r="F41" s="12">
        <v>642466</v>
      </c>
      <c r="G41" s="113">
        <f>F41/D41*100</f>
        <v>96.35265287513535</v>
      </c>
      <c r="H41" s="114">
        <f t="shared" si="0"/>
        <v>99.01427422163727</v>
      </c>
    </row>
    <row r="42" spans="1:8" ht="12.75">
      <c r="A42" s="39" t="s">
        <v>29</v>
      </c>
      <c r="B42" s="12">
        <v>5290</v>
      </c>
      <c r="C42" s="12">
        <v>18330</v>
      </c>
      <c r="D42" s="12">
        <v>18330</v>
      </c>
      <c r="E42" s="12">
        <v>16479</v>
      </c>
      <c r="F42" s="12">
        <v>14025</v>
      </c>
      <c r="G42" s="113">
        <f>F42/D42*100</f>
        <v>76.51391162029459</v>
      </c>
      <c r="H42" s="114">
        <f t="shared" si="0"/>
        <v>85.1083196795922</v>
      </c>
    </row>
    <row r="43" spans="1:10" ht="12.75">
      <c r="A43" s="21" t="s">
        <v>30</v>
      </c>
      <c r="B43" s="22">
        <v>219551</v>
      </c>
      <c r="C43" s="22">
        <v>232940</v>
      </c>
      <c r="D43" s="22">
        <v>232940</v>
      </c>
      <c r="E43" s="22">
        <v>225924</v>
      </c>
      <c r="F43" s="22">
        <v>219258</v>
      </c>
      <c r="G43" s="132">
        <f>F43/D43*100</f>
        <v>94.12638447668927</v>
      </c>
      <c r="H43" s="131">
        <f t="shared" si="0"/>
        <v>97.04945025760875</v>
      </c>
      <c r="J43" s="2" t="s">
        <v>53</v>
      </c>
    </row>
    <row r="44" spans="1:8" ht="12.75">
      <c r="A44" s="21" t="s">
        <v>31</v>
      </c>
      <c r="B44" s="22">
        <v>13260</v>
      </c>
      <c r="C44" s="22">
        <v>13335</v>
      </c>
      <c r="D44" s="22">
        <v>13335</v>
      </c>
      <c r="E44" s="22">
        <v>12976</v>
      </c>
      <c r="F44" s="22">
        <v>12976</v>
      </c>
      <c r="G44" s="132">
        <f>F44/D44*100</f>
        <v>97.30783652043495</v>
      </c>
      <c r="H44" s="131">
        <f t="shared" si="0"/>
        <v>100</v>
      </c>
    </row>
    <row r="45" spans="1:8" ht="12.75">
      <c r="A45" s="21" t="s">
        <v>50</v>
      </c>
      <c r="B45" s="22">
        <v>0</v>
      </c>
      <c r="C45" s="18">
        <v>0</v>
      </c>
      <c r="D45" s="18">
        <v>0</v>
      </c>
      <c r="E45" s="18">
        <v>0</v>
      </c>
      <c r="F45" s="22">
        <v>0</v>
      </c>
      <c r="G45" s="132">
        <v>0</v>
      </c>
      <c r="H45" s="114">
        <v>0</v>
      </c>
    </row>
    <row r="46" spans="1:8" ht="12.75">
      <c r="A46" s="21" t="s">
        <v>33</v>
      </c>
      <c r="B46" s="22">
        <f>B48+B49+B50+B52+B56</f>
        <v>836974</v>
      </c>
      <c r="C46" s="18">
        <f>C48+C49+C50+C52+C56</f>
        <v>678945</v>
      </c>
      <c r="D46" s="18">
        <f>D48+D49+D50+D52+D56</f>
        <v>669051</v>
      </c>
      <c r="E46" s="18">
        <f>E48+E49+E50+E52+E56</f>
        <v>627869</v>
      </c>
      <c r="F46" s="18">
        <f>F48+F49+F50+F52+F56</f>
        <v>613811</v>
      </c>
      <c r="G46" s="119">
        <f>F46/D46*100</f>
        <v>91.74352926757452</v>
      </c>
      <c r="H46" s="114">
        <f t="shared" si="0"/>
        <v>97.7609979151702</v>
      </c>
    </row>
    <row r="47" spans="1:8" ht="12.75">
      <c r="A47" s="11" t="s">
        <v>34</v>
      </c>
      <c r="B47" s="12"/>
      <c r="C47" s="12"/>
      <c r="D47" s="12"/>
      <c r="E47" s="12"/>
      <c r="F47" s="12"/>
      <c r="G47" s="113"/>
      <c r="H47" s="114"/>
    </row>
    <row r="48" spans="1:8" ht="12.75">
      <c r="A48" s="11" t="s">
        <v>35</v>
      </c>
      <c r="B48" s="62">
        <v>36623</v>
      </c>
      <c r="C48" s="62">
        <v>21550</v>
      </c>
      <c r="D48" s="62">
        <v>27872</v>
      </c>
      <c r="E48" s="62">
        <v>28721</v>
      </c>
      <c r="F48" s="62">
        <v>28303</v>
      </c>
      <c r="G48" s="113">
        <f aca="true" t="shared" si="1" ref="G48:G59">F48/D48*100</f>
        <v>101.54635476463834</v>
      </c>
      <c r="H48" s="114">
        <f t="shared" si="0"/>
        <v>98.54461891995405</v>
      </c>
    </row>
    <row r="49" spans="1:8" ht="12.75">
      <c r="A49" s="11" t="s">
        <v>36</v>
      </c>
      <c r="B49" s="12">
        <v>82264</v>
      </c>
      <c r="C49" s="12">
        <v>100500</v>
      </c>
      <c r="D49" s="12">
        <v>59918</v>
      </c>
      <c r="E49" s="12">
        <v>56918</v>
      </c>
      <c r="F49" s="12">
        <v>55907</v>
      </c>
      <c r="G49" s="113">
        <f t="shared" si="1"/>
        <v>93.3058513301512</v>
      </c>
      <c r="H49" s="114">
        <f t="shared" si="0"/>
        <v>98.22376049755789</v>
      </c>
    </row>
    <row r="50" spans="1:8" ht="12.75">
      <c r="A50" s="11" t="s">
        <v>37</v>
      </c>
      <c r="B50" s="12">
        <v>532000</v>
      </c>
      <c r="C50" s="12">
        <v>452335</v>
      </c>
      <c r="D50" s="12">
        <v>485718</v>
      </c>
      <c r="E50" s="12">
        <v>467608</v>
      </c>
      <c r="F50" s="12">
        <v>458387</v>
      </c>
      <c r="G50" s="113">
        <f t="shared" si="1"/>
        <v>94.37307244121075</v>
      </c>
      <c r="H50" s="114">
        <f t="shared" si="0"/>
        <v>98.02804913517305</v>
      </c>
    </row>
    <row r="51" spans="1:8" ht="12.75">
      <c r="A51" s="11" t="s">
        <v>38</v>
      </c>
      <c r="B51" s="12">
        <v>7394</v>
      </c>
      <c r="C51" s="12">
        <v>3325</v>
      </c>
      <c r="D51" s="12">
        <v>8672</v>
      </c>
      <c r="E51" s="12">
        <v>8672</v>
      </c>
      <c r="F51" s="12">
        <v>8525</v>
      </c>
      <c r="G51" s="113">
        <f t="shared" si="1"/>
        <v>98.30488929889299</v>
      </c>
      <c r="H51" s="114">
        <f t="shared" si="0"/>
        <v>98.30488929889299</v>
      </c>
    </row>
    <row r="52" spans="1:8" ht="12.75">
      <c r="A52" s="11" t="s">
        <v>39</v>
      </c>
      <c r="B52" s="12">
        <v>125693</v>
      </c>
      <c r="C52" s="12">
        <v>60300</v>
      </c>
      <c r="D52" s="12">
        <v>45472</v>
      </c>
      <c r="E52" s="12">
        <v>27051</v>
      </c>
      <c r="F52" s="12">
        <v>24688</v>
      </c>
      <c r="G52" s="113">
        <f t="shared" si="1"/>
        <v>54.292751583391976</v>
      </c>
      <c r="H52" s="114">
        <f t="shared" si="0"/>
        <v>91.26464825699604</v>
      </c>
    </row>
    <row r="53" spans="1:8" ht="12.75">
      <c r="A53" s="11" t="s">
        <v>40</v>
      </c>
      <c r="B53" s="12">
        <v>121176</v>
      </c>
      <c r="C53" s="12">
        <v>58887</v>
      </c>
      <c r="D53" s="12">
        <v>41992</v>
      </c>
      <c r="E53" s="12">
        <v>23571</v>
      </c>
      <c r="F53" s="12">
        <v>21538</v>
      </c>
      <c r="G53" s="113">
        <f t="shared" si="1"/>
        <v>51.290722042293766</v>
      </c>
      <c r="H53" s="114">
        <f t="shared" si="0"/>
        <v>91.37499469687327</v>
      </c>
    </row>
    <row r="54" spans="1:8" ht="12.75">
      <c r="A54" s="11" t="s">
        <v>41</v>
      </c>
      <c r="B54" s="12">
        <v>843</v>
      </c>
      <c r="C54" s="12">
        <v>50</v>
      </c>
      <c r="D54" s="12">
        <v>0</v>
      </c>
      <c r="E54" s="12">
        <v>0</v>
      </c>
      <c r="F54" s="12">
        <v>0</v>
      </c>
      <c r="G54" s="113">
        <v>0</v>
      </c>
      <c r="H54" s="114">
        <v>0</v>
      </c>
    </row>
    <row r="55" spans="1:8" ht="12.75">
      <c r="A55" s="11" t="s">
        <v>42</v>
      </c>
      <c r="B55" s="12">
        <v>2596</v>
      </c>
      <c r="C55" s="12">
        <v>668</v>
      </c>
      <c r="D55" s="12">
        <v>2192</v>
      </c>
      <c r="E55" s="12">
        <v>2192</v>
      </c>
      <c r="F55" s="12">
        <v>1939</v>
      </c>
      <c r="G55" s="113">
        <f t="shared" si="1"/>
        <v>88.4580291970803</v>
      </c>
      <c r="H55" s="114">
        <f t="shared" si="0"/>
        <v>88.4580291970803</v>
      </c>
    </row>
    <row r="56" spans="1:8" ht="13.5" thickBot="1">
      <c r="A56" s="37" t="s">
        <v>43</v>
      </c>
      <c r="B56" s="38">
        <v>60394</v>
      </c>
      <c r="C56" s="38">
        <f>60+36000+2200+4000+2000</f>
        <v>44260</v>
      </c>
      <c r="D56" s="38">
        <v>50071</v>
      </c>
      <c r="E56" s="38">
        <v>47571</v>
      </c>
      <c r="F56" s="38">
        <v>46526</v>
      </c>
      <c r="G56" s="128">
        <f t="shared" si="1"/>
        <v>92.92005352399593</v>
      </c>
      <c r="H56" s="122">
        <f t="shared" si="0"/>
        <v>97.80328351306468</v>
      </c>
    </row>
    <row r="57" spans="1:8" ht="12.75">
      <c r="A57" s="11" t="s">
        <v>44</v>
      </c>
      <c r="B57" s="12">
        <v>1987</v>
      </c>
      <c r="C57" s="12">
        <v>1973</v>
      </c>
      <c r="D57" s="12">
        <v>1973</v>
      </c>
      <c r="E57" s="12">
        <v>1973</v>
      </c>
      <c r="F57" s="12">
        <v>1883</v>
      </c>
      <c r="G57" s="113">
        <f t="shared" si="1"/>
        <v>95.4384186517993</v>
      </c>
      <c r="H57" s="114">
        <f t="shared" si="0"/>
        <v>95.4384186517993</v>
      </c>
    </row>
    <row r="58" spans="1:8" ht="12.75">
      <c r="A58" s="11" t="s">
        <v>45</v>
      </c>
      <c r="B58" s="12">
        <f>B41/B57/12*1000</f>
        <v>26260.065425264216</v>
      </c>
      <c r="C58" s="12">
        <f>C41/C57/12*1000</f>
        <v>28162.94982260517</v>
      </c>
      <c r="D58" s="12">
        <f>D41/D57/12*1000</f>
        <v>28162.94982260517</v>
      </c>
      <c r="E58" s="45">
        <f>E41/E57/12*1000</f>
        <v>27405.896266261196</v>
      </c>
      <c r="F58" s="12">
        <f>F41/F57/12*1000</f>
        <v>28432.731456895028</v>
      </c>
      <c r="G58" s="113">
        <f t="shared" si="1"/>
        <v>100.95793102636328</v>
      </c>
      <c r="H58" s="114">
        <f t="shared" si="0"/>
        <v>103.74676741332465</v>
      </c>
    </row>
    <row r="59" spans="1:8" ht="13.5" thickBot="1">
      <c r="A59" s="7" t="s">
        <v>46</v>
      </c>
      <c r="B59" s="13">
        <f>B46/B57*1000</f>
        <v>421224.96225465526</v>
      </c>
      <c r="C59" s="13">
        <f>C46/C57*1000</f>
        <v>344118.0942726812</v>
      </c>
      <c r="D59" s="13">
        <f>D46/D57*1000</f>
        <v>339103.39584389253</v>
      </c>
      <c r="E59" s="13">
        <f>E46/E57*1000</f>
        <v>318230.6132792701</v>
      </c>
      <c r="F59" s="13">
        <f>ROUND(F46/F57*1000,0)</f>
        <v>325975</v>
      </c>
      <c r="G59" s="129">
        <f t="shared" si="1"/>
        <v>96.12849767805444</v>
      </c>
      <c r="H59" s="130">
        <f t="shared" si="0"/>
        <v>102.43357690855896</v>
      </c>
    </row>
    <row r="60" ht="12.75">
      <c r="F60" s="90"/>
    </row>
  </sheetData>
  <mergeCells count="1">
    <mergeCell ref="C4:H4"/>
  </mergeCells>
  <printOptions/>
  <pageMargins left="0.984251968503937" right="0" top="0.984251968503937" bottom="0.3937007874015748" header="0.31496062992125984" footer="0.5118110236220472"/>
  <pageSetup horizontalDpi="600" verticalDpi="600" orientation="portrait" paperSize="9" scale="95" r:id="rId1"/>
  <headerFooter alignWithMargins="0">
    <oddHeader>&amp;R&amp;"Arial CE,Tučné"&amp;12&amp;UPříloha č. 3 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C1" sqref="C1"/>
    </sheetView>
  </sheetViews>
  <sheetFormatPr defaultColWidth="9.125" defaultRowHeight="12.75"/>
  <cols>
    <col min="1" max="1" width="33.125" style="2" customWidth="1"/>
    <col min="2" max="2" width="10.75390625" style="34" hidden="1" customWidth="1"/>
    <col min="3" max="4" width="11.125" style="2" customWidth="1"/>
    <col min="5" max="5" width="11.875" style="2" customWidth="1"/>
    <col min="6" max="6" width="11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54</v>
      </c>
      <c r="B1" s="33"/>
    </row>
    <row r="2" ht="12.75">
      <c r="A2" s="2" t="s">
        <v>71</v>
      </c>
    </row>
    <row r="3" spans="6:8" ht="13.5" thickBot="1">
      <c r="F3" s="3"/>
      <c r="H3" s="24"/>
    </row>
    <row r="4" spans="1:8" ht="12.75">
      <c r="A4" s="4"/>
      <c r="B4" s="83">
        <v>2008</v>
      </c>
      <c r="C4" s="152">
        <v>2010</v>
      </c>
      <c r="D4" s="153"/>
      <c r="E4" s="153"/>
      <c r="F4" s="153"/>
      <c r="G4" s="153"/>
      <c r="H4" s="154"/>
    </row>
    <row r="5" spans="1:8" ht="12.75">
      <c r="A5" s="5" t="s">
        <v>1</v>
      </c>
      <c r="B5" s="84" t="s">
        <v>2</v>
      </c>
      <c r="C5" s="97" t="s">
        <v>63</v>
      </c>
      <c r="D5" s="85"/>
      <c r="E5" s="27"/>
      <c r="F5" s="25" t="s">
        <v>2</v>
      </c>
      <c r="G5" s="25" t="s">
        <v>3</v>
      </c>
      <c r="H5" s="98" t="s">
        <v>3</v>
      </c>
    </row>
    <row r="6" spans="1:8" ht="13.5" thickBot="1">
      <c r="A6" s="7"/>
      <c r="B6" s="86" t="s">
        <v>66</v>
      </c>
      <c r="C6" s="99" t="s">
        <v>4</v>
      </c>
      <c r="D6" s="26" t="s">
        <v>64</v>
      </c>
      <c r="E6" s="96" t="s">
        <v>68</v>
      </c>
      <c r="F6" s="86" t="s">
        <v>66</v>
      </c>
      <c r="G6" s="26" t="s">
        <v>70</v>
      </c>
      <c r="H6" s="100" t="s">
        <v>69</v>
      </c>
    </row>
    <row r="7" spans="1:8" ht="13.5" thickBot="1">
      <c r="A7" s="7" t="s">
        <v>5</v>
      </c>
      <c r="B7" s="86">
        <v>1</v>
      </c>
      <c r="C7" s="99">
        <v>2</v>
      </c>
      <c r="D7" s="8">
        <v>3</v>
      </c>
      <c r="E7" s="8">
        <v>4</v>
      </c>
      <c r="F7" s="8">
        <v>5</v>
      </c>
      <c r="G7" s="28" t="s">
        <v>65</v>
      </c>
      <c r="H7" s="19" t="s">
        <v>67</v>
      </c>
    </row>
    <row r="8" spans="1:10" ht="12.75">
      <c r="A8" s="9" t="s">
        <v>6</v>
      </c>
      <c r="B8" s="76">
        <f>SUM(MFC:ÚZSVM!B8)</f>
        <v>4451686</v>
      </c>
      <c r="C8" s="101">
        <f>SUM(MFC:ÚZSVM!C8)</f>
        <v>4332371</v>
      </c>
      <c r="D8" s="10">
        <f>SUM(MFC:ÚZSVM!D8)</f>
        <v>4332371</v>
      </c>
      <c r="E8" s="10">
        <f>SUM(MFC:ÚZSVM!E8)</f>
        <v>4354944</v>
      </c>
      <c r="F8" s="10">
        <f>SUM(MFC:ÚZSVM!F8)+1</f>
        <v>6283643</v>
      </c>
      <c r="G8" s="143">
        <f>F8/D8*100</f>
        <v>145.0393560477623</v>
      </c>
      <c r="H8" s="92">
        <f>F8/E8*100</f>
        <v>144.28757292860712</v>
      </c>
      <c r="I8" s="23"/>
      <c r="J8" s="23"/>
    </row>
    <row r="9" spans="1:10" ht="12.75">
      <c r="A9" s="5" t="s">
        <v>7</v>
      </c>
      <c r="B9" s="77"/>
      <c r="C9" s="102"/>
      <c r="D9" s="14"/>
      <c r="E9" s="14"/>
      <c r="F9" s="14">
        <f>F10+F11+F13+F14+F15+F16+F17+F18+F19+F20+F21+F22+F23+F24+F25+F26+F27+F28</f>
        <v>6283643</v>
      </c>
      <c r="G9" s="146"/>
      <c r="H9" s="147"/>
      <c r="I9" s="69"/>
      <c r="J9" s="23"/>
    </row>
    <row r="10" spans="1:10" ht="12.75">
      <c r="A10" s="64" t="s">
        <v>60</v>
      </c>
      <c r="B10" s="87">
        <f>SUM(MFC:ÚZSVM!B10)</f>
        <v>0</v>
      </c>
      <c r="C10" s="67">
        <f>SUM(MFC:ÚZSVM!C10)</f>
        <v>1471711</v>
      </c>
      <c r="D10" s="65">
        <f>SUM(MFC:ÚZSVM!D10)</f>
        <v>1471711</v>
      </c>
      <c r="E10" s="65">
        <f>SUM(MFC:ÚZSVM!E10)</f>
        <v>1471711</v>
      </c>
      <c r="F10" s="65">
        <f>SUM(MFC:ÚZSVM!F10)+1</f>
        <v>1494523</v>
      </c>
      <c r="G10" s="104">
        <f>F10/D10*100</f>
        <v>101.55003258112497</v>
      </c>
      <c r="H10" s="148">
        <f aca="true" t="shared" si="0" ref="H10:H28">F10/E10*100</f>
        <v>101.55003258112497</v>
      </c>
      <c r="I10" s="69"/>
      <c r="J10" s="23"/>
    </row>
    <row r="11" spans="1:10" ht="12.75">
      <c r="A11" s="64" t="s">
        <v>8</v>
      </c>
      <c r="B11" s="87">
        <f>SUM(MFC:ÚZSVM!B11)</f>
        <v>648551</v>
      </c>
      <c r="C11" s="65">
        <f>SUM(MFC:ÚZSVM!C11)</f>
        <v>570932</v>
      </c>
      <c r="D11" s="65">
        <f>SUM(MFC:ÚZSVM!D11)</f>
        <v>570932</v>
      </c>
      <c r="E11" s="65">
        <f>SUM(MFC:ÚZSVM!E11)</f>
        <v>570932</v>
      </c>
      <c r="F11" s="65">
        <f>SUM(MFC:ÚZSVM!F11)</f>
        <v>589132</v>
      </c>
      <c r="G11" s="104">
        <f>F11/D11*100</f>
        <v>103.18777017227971</v>
      </c>
      <c r="H11" s="148">
        <f t="shared" si="0"/>
        <v>103.18777017227971</v>
      </c>
      <c r="I11" s="23"/>
      <c r="J11" s="23"/>
    </row>
    <row r="12" spans="1:10" ht="12.75">
      <c r="A12" s="64" t="s">
        <v>9</v>
      </c>
      <c r="B12" s="87">
        <f>SUM(MFC:ÚZSVM!B12)-1</f>
        <v>534100</v>
      </c>
      <c r="C12" s="65">
        <f>SUM(MFC:ÚZSVM!C12)</f>
        <v>510437</v>
      </c>
      <c r="D12" s="65">
        <f>SUM(MFC:ÚZSVM!D12)</f>
        <v>510437</v>
      </c>
      <c r="E12" s="65">
        <f>SUM(MFC:ÚZSVM!E12)</f>
        <v>510437</v>
      </c>
      <c r="F12" s="65">
        <f>SUM(MFC:ÚZSVM!F12)</f>
        <v>523676</v>
      </c>
      <c r="G12" s="104">
        <f>F12/D12*100</f>
        <v>102.59365994236312</v>
      </c>
      <c r="H12" s="148">
        <f t="shared" si="0"/>
        <v>102.59365994236312</v>
      </c>
      <c r="I12" s="23"/>
      <c r="J12" s="23"/>
    </row>
    <row r="13" spans="1:10" ht="12.75">
      <c r="A13" s="11" t="s">
        <v>10</v>
      </c>
      <c r="B13" s="45">
        <f>SUM(MFC:ÚZSVM!B13)</f>
        <v>67437</v>
      </c>
      <c r="C13" s="12">
        <f>SUM(MFC:ÚZSVM!C13)</f>
        <v>50839</v>
      </c>
      <c r="D13" s="12">
        <f>SUM(MFC:ÚZSVM!D13)</f>
        <v>52583</v>
      </c>
      <c r="E13" s="12">
        <f>SUM(MFC:ÚZSVM!E13)</f>
        <v>52583</v>
      </c>
      <c r="F13" s="12">
        <f>SUM(MFC:ÚZSVM!F13)</f>
        <v>55374</v>
      </c>
      <c r="G13" s="103">
        <f>F13/D13*100</f>
        <v>105.30779909856798</v>
      </c>
      <c r="H13" s="94">
        <f t="shared" si="0"/>
        <v>105.30779909856798</v>
      </c>
      <c r="I13" s="70"/>
      <c r="J13" s="71"/>
    </row>
    <row r="14" spans="1:10" ht="12.75">
      <c r="A14" s="43" t="s">
        <v>56</v>
      </c>
      <c r="B14" s="45"/>
      <c r="C14" s="12">
        <f>SUM(MFC:ÚZSVM!C14)</f>
        <v>0</v>
      </c>
      <c r="D14" s="12">
        <f>SUM(MFC:ÚZSVM!D14)</f>
        <v>0</v>
      </c>
      <c r="E14" s="12">
        <v>0</v>
      </c>
      <c r="F14" s="12">
        <f>SUM(MFC:ÚZSVM!F14)</f>
        <v>1126</v>
      </c>
      <c r="G14" s="103">
        <v>0</v>
      </c>
      <c r="H14" s="94">
        <v>0</v>
      </c>
      <c r="I14" s="23"/>
      <c r="J14" s="23"/>
    </row>
    <row r="15" spans="1:10" ht="12.75">
      <c r="A15" s="11" t="s">
        <v>11</v>
      </c>
      <c r="B15" s="45">
        <f>SUM(MFC:ÚZSVM!B15)</f>
        <v>224486</v>
      </c>
      <c r="C15" s="12">
        <f>SUM(MFC:ÚZSVM!C15)</f>
        <v>152335</v>
      </c>
      <c r="D15" s="12">
        <f>SUM(MFC:ÚZSVM!D15)</f>
        <v>125437</v>
      </c>
      <c r="E15" s="12">
        <f>SUM(MFC:ÚZSVM!E15)</f>
        <v>125437</v>
      </c>
      <c r="F15" s="12">
        <f>SUM(MFC:ÚZSVM!F15)</f>
        <v>257911</v>
      </c>
      <c r="G15" s="103">
        <f aca="true" t="shared" si="1" ref="G15:G27">F15/D15*100</f>
        <v>205.60998748375678</v>
      </c>
      <c r="H15" s="94">
        <f t="shared" si="0"/>
        <v>205.60998748375678</v>
      </c>
      <c r="I15" s="71"/>
      <c r="J15" s="71"/>
    </row>
    <row r="16" spans="1:10" ht="12.75">
      <c r="A16" s="11" t="s">
        <v>12</v>
      </c>
      <c r="B16" s="45">
        <f>SUM(MFC:ÚZSVM!B16)</f>
        <v>146815</v>
      </c>
      <c r="C16" s="12">
        <f>SUM(MFC:ÚZSVM!C16)</f>
        <v>63440</v>
      </c>
      <c r="D16" s="12">
        <f>SUM(MFC:ÚZSVM!D16)</f>
        <v>63376</v>
      </c>
      <c r="E16" s="12">
        <f>SUM(MFC:ÚZSVM!E16)</f>
        <v>63376</v>
      </c>
      <c r="F16" s="12">
        <f>SUM(MFC:ÚZSVM!F16)</f>
        <v>80372</v>
      </c>
      <c r="G16" s="103">
        <f t="shared" si="1"/>
        <v>126.81772279727342</v>
      </c>
      <c r="H16" s="94">
        <f t="shared" si="0"/>
        <v>126.81772279727342</v>
      </c>
      <c r="I16" s="71"/>
      <c r="J16" s="71"/>
    </row>
    <row r="17" spans="1:10" ht="12.75">
      <c r="A17" s="11" t="s">
        <v>13</v>
      </c>
      <c r="B17" s="45">
        <f>SUM(MFC:ÚZSVM!B17)</f>
        <v>16772</v>
      </c>
      <c r="C17" s="12">
        <f>SUM(MFC:ÚZSVM!C17)</f>
        <v>806882</v>
      </c>
      <c r="D17" s="12">
        <f>SUM(MFC:ÚZSVM!D17)</f>
        <v>806937</v>
      </c>
      <c r="E17" s="12">
        <f>SUM(MFC:ÚZSVM!E17)</f>
        <v>806937</v>
      </c>
      <c r="F17" s="12">
        <f>SUM(MFC:ÚZSVM!F17)</f>
        <v>1428426</v>
      </c>
      <c r="G17" s="103">
        <f t="shared" si="1"/>
        <v>177.01828023749067</v>
      </c>
      <c r="H17" s="41">
        <f t="shared" si="0"/>
        <v>177.01828023749067</v>
      </c>
      <c r="I17" s="71"/>
      <c r="J17" s="71"/>
    </row>
    <row r="18" spans="1:10" ht="12.75">
      <c r="A18" s="11" t="s">
        <v>14</v>
      </c>
      <c r="B18" s="45">
        <f>SUM(MFC:ÚZSVM!B18)</f>
        <v>8487</v>
      </c>
      <c r="C18" s="12">
        <f>SUM(MFC:ÚZSVM!C18)</f>
        <v>2079</v>
      </c>
      <c r="D18" s="12">
        <f>SUM(MFC:ÚZSVM!D18)</f>
        <v>751</v>
      </c>
      <c r="E18" s="12">
        <f>SUM(MFC:ÚZSVM!E18)</f>
        <v>751</v>
      </c>
      <c r="F18" s="12">
        <f>SUM(MFC:ÚZSVM!F18)</f>
        <v>3568</v>
      </c>
      <c r="G18" s="103">
        <f t="shared" si="1"/>
        <v>475.09986684420767</v>
      </c>
      <c r="H18" s="41">
        <f t="shared" si="0"/>
        <v>475.09986684420767</v>
      </c>
      <c r="I18" s="71"/>
      <c r="J18" s="71"/>
    </row>
    <row r="19" spans="1:10" ht="12.75">
      <c r="A19" s="11" t="s">
        <v>15</v>
      </c>
      <c r="B19" s="45">
        <f>SUM(MFC:ÚZSVM!B19)-1</f>
        <v>402997</v>
      </c>
      <c r="C19" s="12">
        <f>SUM(MFC:ÚZSVM!C19)</f>
        <v>102851</v>
      </c>
      <c r="D19" s="12">
        <f>SUM(MFC:ÚZSVM!D19)</f>
        <v>55973</v>
      </c>
      <c r="E19" s="12">
        <f>SUM(MFC:ÚZSVM!E19)</f>
        <v>57140</v>
      </c>
      <c r="F19" s="12">
        <f>SUM(MFC:ÚZSVM!F19)</f>
        <v>163448</v>
      </c>
      <c r="G19" s="103">
        <f t="shared" si="1"/>
        <v>292.0122201775856</v>
      </c>
      <c r="H19" s="41">
        <f t="shared" si="0"/>
        <v>286.04830241512076</v>
      </c>
      <c r="I19" s="71"/>
      <c r="J19" s="71"/>
    </row>
    <row r="20" spans="1:10" ht="12.75">
      <c r="A20" s="11" t="s">
        <v>62</v>
      </c>
      <c r="B20" s="45">
        <f>SUM(MFC:ÚZSVM!B20)</f>
        <v>0</v>
      </c>
      <c r="C20" s="12">
        <f>SUM(MFC:ÚZSVM!C20)</f>
        <v>7300</v>
      </c>
      <c r="D20" s="12">
        <f>SUM(MFC:ÚZSVM!D20)</f>
        <v>7300</v>
      </c>
      <c r="E20" s="12">
        <f>SUM(MFC:ÚZSVM!E20)</f>
        <v>7300</v>
      </c>
      <c r="F20" s="12">
        <f>SUM(MFC:ÚZSVM!F20)</f>
        <v>9481</v>
      </c>
      <c r="G20" s="103">
        <f t="shared" si="1"/>
        <v>129.87671232876713</v>
      </c>
      <c r="H20" s="41">
        <f t="shared" si="0"/>
        <v>129.87671232876713</v>
      </c>
      <c r="I20" s="71"/>
      <c r="J20" s="71"/>
    </row>
    <row r="21" spans="1:10" ht="12.75">
      <c r="A21" s="44" t="s">
        <v>57</v>
      </c>
      <c r="B21" s="45">
        <f>SUM(MFC:ÚZSVM!B21)</f>
        <v>1300778</v>
      </c>
      <c r="C21" s="12">
        <f>SUM(MFC:ÚZSVM!C21)</f>
        <v>401850</v>
      </c>
      <c r="D21" s="12">
        <f>SUM(MFC:ÚZSVM!D21)</f>
        <v>401850</v>
      </c>
      <c r="E21" s="12">
        <f>SUM(MFC:ÚZSVM!E21)</f>
        <v>401850</v>
      </c>
      <c r="F21" s="12">
        <f>SUM(MFC:ÚZSVM!F21)</f>
        <v>758757</v>
      </c>
      <c r="G21" s="103">
        <f t="shared" si="1"/>
        <v>188.815976110489</v>
      </c>
      <c r="H21" s="41">
        <f t="shared" si="0"/>
        <v>188.815976110489</v>
      </c>
      <c r="I21" s="23"/>
      <c r="J21" s="23"/>
    </row>
    <row r="22" spans="1:10" ht="12.75">
      <c r="A22" s="11" t="s">
        <v>16</v>
      </c>
      <c r="B22" s="45">
        <f>SUM(MFC:ÚZSVM!B22)-1</f>
        <v>828506</v>
      </c>
      <c r="C22" s="12">
        <f>SUM(MFC:ÚZSVM!C22)</f>
        <v>303900</v>
      </c>
      <c r="D22" s="12">
        <f>SUM(MFC:ÚZSVM!D22)</f>
        <v>376969</v>
      </c>
      <c r="E22" s="12">
        <f>SUM(MFC:ÚZSVM!E22)</f>
        <v>376969</v>
      </c>
      <c r="F22" s="12">
        <f>SUM(MFC:ÚZSVM!F22)</f>
        <v>1242183</v>
      </c>
      <c r="G22" s="103">
        <f t="shared" si="1"/>
        <v>329.5186076308662</v>
      </c>
      <c r="H22" s="41">
        <f t="shared" si="0"/>
        <v>329.5186076308662</v>
      </c>
      <c r="I22" s="71"/>
      <c r="J22" s="71"/>
    </row>
    <row r="23" spans="1:10" ht="12.75">
      <c r="A23" s="44" t="s">
        <v>58</v>
      </c>
      <c r="B23" s="45">
        <f>SUM(MFC:ÚZSVM!B23)</f>
        <v>35702</v>
      </c>
      <c r="C23" s="12">
        <f>SUM(MFC:ÚZSVM!C23)</f>
        <v>8000</v>
      </c>
      <c r="D23" s="12">
        <f>SUM(MFC:ÚZSVM!D23)</f>
        <v>8050</v>
      </c>
      <c r="E23" s="12">
        <f>SUM(MFC:ÚZSVM!E23)</f>
        <v>8050</v>
      </c>
      <c r="F23" s="12">
        <f>SUM(MFC:ÚZSVM!F23)</f>
        <v>29085</v>
      </c>
      <c r="G23" s="103">
        <f t="shared" si="1"/>
        <v>361.30434782608694</v>
      </c>
      <c r="H23" s="41">
        <f t="shared" si="0"/>
        <v>361.30434782608694</v>
      </c>
      <c r="I23" s="23"/>
      <c r="J23" s="23"/>
    </row>
    <row r="24" spans="1:10" ht="12.75" customHeight="1">
      <c r="A24" s="11" t="s">
        <v>17</v>
      </c>
      <c r="B24" s="45">
        <f>SUM(MFC:ÚZSVM!B24)</f>
        <v>0</v>
      </c>
      <c r="C24" s="12">
        <f>SUM(MFC:ÚZSVM!C24)</f>
        <v>0</v>
      </c>
      <c r="D24" s="12">
        <f>SUM(MFC:ÚZSVM!D24)</f>
        <v>250</v>
      </c>
      <c r="E24" s="12">
        <f>SUM(MFC:ÚZSVM!E24)</f>
        <v>250</v>
      </c>
      <c r="F24" s="12">
        <f>SUM(MFC:ÚZSVM!F24)</f>
        <v>0</v>
      </c>
      <c r="G24" s="103">
        <f>F24/D24*100</f>
        <v>0</v>
      </c>
      <c r="H24" s="41">
        <f>F24/E24*100</f>
        <v>0</v>
      </c>
      <c r="I24" s="23"/>
      <c r="J24" s="71"/>
    </row>
    <row r="25" spans="1:10" ht="12.75" customHeight="1">
      <c r="A25" s="11" t="s">
        <v>72</v>
      </c>
      <c r="B25" s="45"/>
      <c r="C25" s="12">
        <f>SUM(MFC:ÚZSVM!C25)</f>
        <v>119111</v>
      </c>
      <c r="D25" s="12">
        <f>SUM(MFC:ÚZSVM!D25)</f>
        <v>92927</v>
      </c>
      <c r="E25" s="12">
        <f>SUM(MFC:ÚZSVM!E25)</f>
        <v>92927</v>
      </c>
      <c r="F25" s="12">
        <f>SUM(MFC:ÚZSVM!F25)</f>
        <v>78151</v>
      </c>
      <c r="G25" s="103">
        <f>F25/D25*100</f>
        <v>84.09934679910037</v>
      </c>
      <c r="H25" s="41">
        <f>F25/E25*100</f>
        <v>84.09934679910037</v>
      </c>
      <c r="I25" s="23"/>
      <c r="J25" s="71"/>
    </row>
    <row r="26" spans="1:10" ht="12.75" customHeight="1">
      <c r="A26" s="11" t="s">
        <v>59</v>
      </c>
      <c r="B26" s="45">
        <f>SUM(MFC:ÚZSVM!B26)</f>
        <v>6936</v>
      </c>
      <c r="C26" s="12">
        <f>SUM(MFC:ÚZSVM!C26)</f>
        <v>119586</v>
      </c>
      <c r="D26" s="12">
        <f>SUM(MFC:ÚZSVM!D26)</f>
        <v>119586</v>
      </c>
      <c r="E26" s="12">
        <f>SUM(MFC:ÚZSVM!E26)</f>
        <v>119586</v>
      </c>
      <c r="F26" s="12">
        <f>SUM(MFC:ÚZSVM!F26)</f>
        <v>59597</v>
      </c>
      <c r="G26" s="103">
        <f t="shared" si="1"/>
        <v>49.83610121586139</v>
      </c>
      <c r="H26" s="41">
        <f t="shared" si="0"/>
        <v>49.83610121586139</v>
      </c>
      <c r="I26" s="23"/>
      <c r="J26" s="71"/>
    </row>
    <row r="27" spans="1:10" ht="12.75" customHeight="1">
      <c r="A27" s="64" t="s">
        <v>61</v>
      </c>
      <c r="B27" s="87">
        <f>SUM(MFC:ÚZSVM!B27)</f>
        <v>0</v>
      </c>
      <c r="C27" s="65">
        <f>SUM(MFC:ÚZSVM!C27)</f>
        <v>151555</v>
      </c>
      <c r="D27" s="65">
        <f>SUM(MFC:ÚZSVM!D27)</f>
        <v>177739</v>
      </c>
      <c r="E27" s="65">
        <f>SUM(MFC:ÚZSVM!E27)</f>
        <v>177739</v>
      </c>
      <c r="F27" s="65">
        <f>SUM(MFC:ÚZSVM!F27)</f>
        <v>899</v>
      </c>
      <c r="G27" s="104">
        <f t="shared" si="1"/>
        <v>0.5057978271510474</v>
      </c>
      <c r="H27" s="66">
        <f t="shared" si="0"/>
        <v>0.5057978271510474</v>
      </c>
      <c r="I27" s="23"/>
      <c r="J27" s="71"/>
    </row>
    <row r="28" spans="1:10" ht="13.5" thickBot="1">
      <c r="A28" s="7" t="s">
        <v>18</v>
      </c>
      <c r="B28" s="82">
        <f>SUM(MFC:ÚZSVM!B28)</f>
        <v>764217</v>
      </c>
      <c r="C28" s="13">
        <f>SUM(MFC:ÚZSVM!C28)</f>
        <v>0</v>
      </c>
      <c r="D28" s="13">
        <f>SUM(MFC:ÚZSVM!D28)</f>
        <v>0</v>
      </c>
      <c r="E28" s="13">
        <f>SUM(MFC:ÚZSVM!E28)</f>
        <v>21406</v>
      </c>
      <c r="F28" s="13">
        <f>SUM(MFC:ÚZSVM!F28)</f>
        <v>31610</v>
      </c>
      <c r="G28" s="106"/>
      <c r="H28" s="60">
        <f t="shared" si="0"/>
        <v>147.6688778847052</v>
      </c>
      <c r="I28" s="23"/>
      <c r="J28" s="71"/>
    </row>
    <row r="29" spans="1:10" ht="12.75">
      <c r="A29" s="5"/>
      <c r="B29" s="74"/>
      <c r="C29" s="14"/>
      <c r="D29" s="14">
        <f>SUM(MFC:ÚZSVM!D29)</f>
        <v>0</v>
      </c>
      <c r="E29" s="14"/>
      <c r="F29" s="14"/>
      <c r="G29" s="31"/>
      <c r="H29" s="42"/>
      <c r="I29" s="23"/>
      <c r="J29" s="23"/>
    </row>
    <row r="30" spans="1:10" ht="12.75">
      <c r="A30" s="9" t="s">
        <v>19</v>
      </c>
      <c r="B30" s="76">
        <f>SUM(MFC:ÚZSVM!B30)</f>
        <v>17315365</v>
      </c>
      <c r="C30" s="10">
        <f>SUM(MFC:ÚZSVM!C30)</f>
        <v>17192861</v>
      </c>
      <c r="D30" s="10">
        <f>SUM(MFC:ÚZSVM!D30)</f>
        <v>17868215</v>
      </c>
      <c r="E30" s="10">
        <f>SUM(MFC:ÚZSVM!E30)</f>
        <v>17797218.98907</v>
      </c>
      <c r="F30" s="10">
        <f>SUM(MFC:ÚZSVM!F30)</f>
        <v>16712959</v>
      </c>
      <c r="G30" s="111">
        <f>F30/D30*100</f>
        <v>93.53457522197937</v>
      </c>
      <c r="H30" s="124">
        <f aca="true" t="shared" si="2" ref="H30:H59">F30/E30*100</f>
        <v>93.90769990673326</v>
      </c>
      <c r="I30" s="23"/>
      <c r="J30" s="23"/>
    </row>
    <row r="31" spans="1:10" ht="12.75">
      <c r="A31" s="5" t="s">
        <v>20</v>
      </c>
      <c r="B31" s="77"/>
      <c r="C31" s="14"/>
      <c r="D31" s="14">
        <f>SUM(MFC:ÚZSVM!D31)</f>
        <v>0</v>
      </c>
      <c r="E31" s="14"/>
      <c r="F31" s="14"/>
      <c r="G31" s="117"/>
      <c r="H31" s="118"/>
      <c r="I31" s="23"/>
      <c r="J31" s="23"/>
    </row>
    <row r="32" spans="1:10" ht="12.75">
      <c r="A32" s="72" t="s">
        <v>21</v>
      </c>
      <c r="B32" s="78">
        <f>SUM(MFC:ÚZSVM!B32)</f>
        <v>1410923</v>
      </c>
      <c r="C32" s="73">
        <f>SUM(MFC:ÚZSVM!C32)</f>
        <v>1625877</v>
      </c>
      <c r="D32" s="73">
        <f>SUM(MFC:ÚZSVM!D32)</f>
        <v>1735854</v>
      </c>
      <c r="E32" s="73">
        <f>SUM(MFC:ÚZSVM!E32)</f>
        <v>1967548.33861</v>
      </c>
      <c r="F32" s="73">
        <f>SUM(MFC:ÚZSVM!F32)</f>
        <v>1400364</v>
      </c>
      <c r="G32" s="125">
        <f>F32/D32*100</f>
        <v>80.67291373583262</v>
      </c>
      <c r="H32" s="126">
        <f t="shared" si="2"/>
        <v>71.17304172507932</v>
      </c>
      <c r="I32" s="71"/>
      <c r="J32" s="71"/>
    </row>
    <row r="33" spans="1:10" ht="12.75">
      <c r="A33" s="11" t="s">
        <v>22</v>
      </c>
      <c r="B33" s="45"/>
      <c r="C33" s="12"/>
      <c r="D33" s="12">
        <f>SUM(MFC:ÚZSVM!D33)</f>
        <v>0</v>
      </c>
      <c r="E33" s="12"/>
      <c r="F33" s="12"/>
      <c r="G33" s="113"/>
      <c r="H33" s="114"/>
      <c r="I33" s="23"/>
      <c r="J33" s="23"/>
    </row>
    <row r="34" spans="1:10" ht="12.75">
      <c r="A34" s="11" t="s">
        <v>23</v>
      </c>
      <c r="B34" s="45">
        <f>SUM(MFC:ÚZSVM!B34)</f>
        <v>608634</v>
      </c>
      <c r="C34" s="12">
        <f>SUM(MFC:ÚZSVM!C34)</f>
        <v>1184869</v>
      </c>
      <c r="D34" s="12">
        <f>SUM(MFC:ÚZSVM!D34)</f>
        <v>1368028</v>
      </c>
      <c r="E34" s="12">
        <f>SUM(MFC:ÚZSVM!E34)</f>
        <v>1451791.94861</v>
      </c>
      <c r="F34" s="12">
        <f>SUM(MFC:ÚZSVM!F34)</f>
        <v>945159</v>
      </c>
      <c r="G34" s="113">
        <f>F34/D34*100</f>
        <v>69.089156069905</v>
      </c>
      <c r="H34" s="114">
        <f t="shared" si="2"/>
        <v>65.10292338409306</v>
      </c>
      <c r="I34" s="71"/>
      <c r="J34" s="71"/>
    </row>
    <row r="35" spans="1:11" ht="12.75">
      <c r="A35" s="11" t="s">
        <v>24</v>
      </c>
      <c r="B35" s="45">
        <f>SUM(MFC:ÚZSVM!B35)</f>
        <v>799728</v>
      </c>
      <c r="C35" s="12">
        <f>SUM(MFC:ÚZSVM!C35)</f>
        <v>441008</v>
      </c>
      <c r="D35" s="12">
        <f>SUM(MFC:ÚZSVM!D35)</f>
        <v>367282</v>
      </c>
      <c r="E35" s="12">
        <f>SUM(MFC:ÚZSVM!E35)</f>
        <v>514436.39</v>
      </c>
      <c r="F35" s="12">
        <f>SUM(MFC:ÚZSVM!F35)</f>
        <v>453309</v>
      </c>
      <c r="G35" s="113">
        <f>F35/D35*100</f>
        <v>123.42260170659058</v>
      </c>
      <c r="H35" s="114">
        <f t="shared" si="2"/>
        <v>88.11759992328692</v>
      </c>
      <c r="I35" s="71"/>
      <c r="J35" s="71"/>
      <c r="K35" s="23"/>
    </row>
    <row r="36" spans="1:11" ht="12.75">
      <c r="A36" s="15" t="s">
        <v>25</v>
      </c>
      <c r="B36" s="79">
        <f>SUM(MFC:ÚZSVM!B36)</f>
        <v>2561</v>
      </c>
      <c r="C36" s="16">
        <f>SUM(MFC:ÚZSVM!C36)</f>
        <v>0</v>
      </c>
      <c r="D36" s="16">
        <f>SUM(MFC:ÚZSVM!D36)</f>
        <v>544</v>
      </c>
      <c r="E36" s="16">
        <f>SUM(MFC:ÚZSVM!E36)</f>
        <v>1320</v>
      </c>
      <c r="F36" s="16">
        <f>SUM(MFC:ÚZSVM!F36)</f>
        <v>1896</v>
      </c>
      <c r="G36" s="115">
        <f>F36/D36*100</f>
        <v>348.5294117647059</v>
      </c>
      <c r="H36" s="116">
        <f t="shared" si="2"/>
        <v>143.63636363636363</v>
      </c>
      <c r="I36" s="71"/>
      <c r="J36" s="71"/>
      <c r="K36" s="23"/>
    </row>
    <row r="37" spans="1:11" ht="12.75">
      <c r="A37" s="5"/>
      <c r="B37" s="77"/>
      <c r="C37" s="14"/>
      <c r="D37" s="14">
        <f>SUM(MFC:ÚZSVM!D37)</f>
        <v>0</v>
      </c>
      <c r="E37" s="14"/>
      <c r="F37" s="14"/>
      <c r="G37" s="117"/>
      <c r="H37" s="118"/>
      <c r="I37" s="71"/>
      <c r="J37" s="71"/>
      <c r="K37" s="23"/>
    </row>
    <row r="38" spans="1:11" ht="12.75">
      <c r="A38" s="72" t="s">
        <v>26</v>
      </c>
      <c r="B38" s="78">
        <f>B40+B43+B44+B46+B45</f>
        <v>15904442</v>
      </c>
      <c r="C38" s="73">
        <f>C40+C43+C44+C46+C45</f>
        <v>15566984</v>
      </c>
      <c r="D38" s="73">
        <f>SUM(MFC:ÚZSVM!D38)</f>
        <v>16132361</v>
      </c>
      <c r="E38" s="73">
        <f>E40+E43+E44+E46+E45</f>
        <v>15829670.650460001</v>
      </c>
      <c r="F38" s="78">
        <f>F40+F43+F44+F46+F45+1</f>
        <v>15312595</v>
      </c>
      <c r="G38" s="125">
        <f>F38/D38*100</f>
        <v>94.91849953022995</v>
      </c>
      <c r="H38" s="127">
        <f t="shared" si="2"/>
        <v>96.73350341976334</v>
      </c>
      <c r="I38" s="71"/>
      <c r="J38" s="71"/>
      <c r="K38" s="23"/>
    </row>
    <row r="39" spans="1:11" ht="12.75">
      <c r="A39" s="11" t="s">
        <v>22</v>
      </c>
      <c r="B39" s="45"/>
      <c r="C39" s="12"/>
      <c r="D39" s="12">
        <f>SUM(MFC:ÚZSVM!D39)</f>
        <v>0</v>
      </c>
      <c r="E39" s="12"/>
      <c r="F39" s="12">
        <f>F40+F43+F44+F45+F46+1</f>
        <v>15312595</v>
      </c>
      <c r="G39" s="113"/>
      <c r="H39" s="114"/>
      <c r="I39" s="71"/>
      <c r="J39" s="71"/>
      <c r="K39" s="23"/>
    </row>
    <row r="40" spans="1:11" ht="12.75">
      <c r="A40" s="17" t="s">
        <v>27</v>
      </c>
      <c r="B40" s="80">
        <f>SUM(MFC:ÚZSVM!B40)</f>
        <v>8201213</v>
      </c>
      <c r="C40" s="18">
        <f>SUM(MFC:ÚZSVM!C40)</f>
        <v>8344730</v>
      </c>
      <c r="D40" s="18">
        <f>SUM(MFC:ÚZSVM!D40)</f>
        <v>8418193</v>
      </c>
      <c r="E40" s="18">
        <f>SUM(MFC:ÚZSVM!E40)</f>
        <v>8221567</v>
      </c>
      <c r="F40" s="18">
        <f>SUM(MFC:ÚZSVM!F40)</f>
        <v>8196246</v>
      </c>
      <c r="G40" s="119">
        <f aca="true" t="shared" si="3" ref="G40:G46">F40/D40*100</f>
        <v>97.36348406362268</v>
      </c>
      <c r="H40" s="114">
        <f t="shared" si="2"/>
        <v>99.69201734900415</v>
      </c>
      <c r="I40" s="71"/>
      <c r="J40" s="71"/>
      <c r="K40" s="23"/>
    </row>
    <row r="41" spans="1:11" ht="12.75">
      <c r="A41" s="11" t="s">
        <v>28</v>
      </c>
      <c r="B41" s="45">
        <f>SUM(MFC:ÚZSVM!B41)</f>
        <v>8154626</v>
      </c>
      <c r="C41" s="12">
        <f>SUM(MFC:ÚZSVM!C41)</f>
        <v>8287334</v>
      </c>
      <c r="D41" s="12">
        <f>SUM(MFC:ÚZSVM!D41)</f>
        <v>8343529</v>
      </c>
      <c r="E41" s="12">
        <f>SUM(MFC:ÚZSVM!E41)</f>
        <v>8150122</v>
      </c>
      <c r="F41" s="12">
        <f>SUM(MFC:ÚZSVM!F41)</f>
        <v>8131438</v>
      </c>
      <c r="G41" s="113">
        <f t="shared" si="3"/>
        <v>97.45801806405898</v>
      </c>
      <c r="H41" s="114">
        <f t="shared" si="2"/>
        <v>99.77075189794705</v>
      </c>
      <c r="I41" s="71"/>
      <c r="J41" s="71"/>
      <c r="K41" s="23"/>
    </row>
    <row r="42" spans="1:11" ht="12.75">
      <c r="A42" s="39" t="s">
        <v>29</v>
      </c>
      <c r="B42" s="45">
        <f>SUM(MFC:ÚZSVM!B42)</f>
        <v>46587</v>
      </c>
      <c r="C42" s="12">
        <f>SUM(MFC:ÚZSVM!C42)</f>
        <v>57396</v>
      </c>
      <c r="D42" s="12">
        <f>SUM(MFC:ÚZSVM!D42)</f>
        <v>74664</v>
      </c>
      <c r="E42" s="12">
        <f>SUM(MFC:ÚZSVM!E42)</f>
        <v>71445</v>
      </c>
      <c r="F42" s="12">
        <f>SUM(MFC:ÚZSVM!F42)</f>
        <v>64808</v>
      </c>
      <c r="G42" s="113">
        <f t="shared" si="3"/>
        <v>86.79952855459123</v>
      </c>
      <c r="H42" s="114">
        <f t="shared" si="2"/>
        <v>90.7103366225768</v>
      </c>
      <c r="I42" s="71"/>
      <c r="J42" s="71"/>
      <c r="K42" s="23"/>
    </row>
    <row r="43" spans="1:11" ht="12.75">
      <c r="A43" s="21" t="s">
        <v>30</v>
      </c>
      <c r="B43" s="80">
        <f>SUM(MFC:ÚZSVM!B43)</f>
        <v>2866179</v>
      </c>
      <c r="C43" s="18">
        <f>SUM(MFC:ÚZSVM!C43)</f>
        <v>2837210</v>
      </c>
      <c r="D43" s="18">
        <f>SUM(MFC:ÚZSVM!D43)</f>
        <v>2848769</v>
      </c>
      <c r="E43" s="18">
        <f>SUM(MFC:ÚZSVM!E43)</f>
        <v>2781788</v>
      </c>
      <c r="F43" s="18">
        <f>SUM(MFC:ÚZSVM!F43)</f>
        <v>2769352</v>
      </c>
      <c r="G43" s="113">
        <f t="shared" si="3"/>
        <v>97.21223447741814</v>
      </c>
      <c r="H43" s="114">
        <f t="shared" si="2"/>
        <v>99.55294939801308</v>
      </c>
      <c r="I43" s="71"/>
      <c r="J43" s="71" t="s">
        <v>53</v>
      </c>
      <c r="K43" s="23"/>
    </row>
    <row r="44" spans="1:11" ht="12.75">
      <c r="A44" s="21" t="s">
        <v>31</v>
      </c>
      <c r="B44" s="80">
        <f>SUM(MFC:ÚZSVM!B44)</f>
        <v>163865</v>
      </c>
      <c r="C44" s="18">
        <f>SUM(MFC:ÚZSVM!C44)</f>
        <v>165747</v>
      </c>
      <c r="D44" s="18">
        <f>SUM(MFC:ÚZSVM!D44)</f>
        <v>167042</v>
      </c>
      <c r="E44" s="18">
        <f>SUM(MFC:ÚZSVM!E44)</f>
        <v>163159.56</v>
      </c>
      <c r="F44" s="18">
        <f>SUM(MFC:ÚZSVM!F44)-1</f>
        <v>162823</v>
      </c>
      <c r="G44" s="113">
        <f t="shared" si="3"/>
        <v>97.474287903641</v>
      </c>
      <c r="H44" s="114">
        <f t="shared" si="2"/>
        <v>99.79372339567476</v>
      </c>
      <c r="I44" s="71"/>
      <c r="J44" s="71"/>
      <c r="K44" s="23"/>
    </row>
    <row r="45" spans="1:11" ht="12.75">
      <c r="A45" s="17" t="s">
        <v>50</v>
      </c>
      <c r="B45" s="80">
        <f>SUM(MFC:ÚZSVM!B45)</f>
        <v>343323</v>
      </c>
      <c r="C45" s="18">
        <f>SUM(MFC:ÚZSVM!C45)</f>
        <v>514710</v>
      </c>
      <c r="D45" s="18">
        <f>SUM(MFC:ÚZSVM!D45)</f>
        <v>514710</v>
      </c>
      <c r="E45" s="18">
        <f>SUM(MFC:ÚZSVM!E45)</f>
        <v>514710</v>
      </c>
      <c r="F45" s="18">
        <f>SUM(MFC:ÚZSVM!F45)</f>
        <v>421599</v>
      </c>
      <c r="G45" s="113">
        <f t="shared" si="3"/>
        <v>81.91000757708224</v>
      </c>
      <c r="H45" s="114">
        <f t="shared" si="2"/>
        <v>81.91000757708224</v>
      </c>
      <c r="I45" s="71"/>
      <c r="J45" s="71"/>
      <c r="K45" s="23"/>
    </row>
    <row r="46" spans="1:11" ht="12.75">
      <c r="A46" s="17" t="s">
        <v>33</v>
      </c>
      <c r="B46" s="80">
        <f>B48+B49+B50+B52+B56</f>
        <v>4329862</v>
      </c>
      <c r="C46" s="18">
        <f>SUM(MFC:ÚZSVM!C46)</f>
        <v>3704587</v>
      </c>
      <c r="D46" s="18">
        <f>SUM(MFC:ÚZSVM!D46)</f>
        <v>4183647</v>
      </c>
      <c r="E46" s="18">
        <f>SUM(MFC:ÚZSVM!E46)</f>
        <v>4148446.09046</v>
      </c>
      <c r="F46" s="18">
        <f>SUM(MFC:ÚZSVM!F46)</f>
        <v>3762574</v>
      </c>
      <c r="G46" s="119">
        <f t="shared" si="3"/>
        <v>89.93526461482051</v>
      </c>
      <c r="H46" s="114">
        <f t="shared" si="2"/>
        <v>90.69839448203574</v>
      </c>
      <c r="I46" s="71"/>
      <c r="J46" s="71"/>
      <c r="K46" s="23"/>
    </row>
    <row r="47" spans="1:11" ht="12.75">
      <c r="A47" s="11" t="s">
        <v>34</v>
      </c>
      <c r="B47" s="45"/>
      <c r="C47" s="12"/>
      <c r="D47" s="12">
        <f>SUM(MFC:ÚZSVM!D47)</f>
        <v>0</v>
      </c>
      <c r="E47" s="12"/>
      <c r="F47" s="12">
        <f>F48+F49+F50+F52+F56</f>
        <v>3762574</v>
      </c>
      <c r="G47" s="113"/>
      <c r="H47" s="114"/>
      <c r="I47" s="71"/>
      <c r="J47" s="71"/>
      <c r="K47" s="23"/>
    </row>
    <row r="48" spans="1:11" ht="12.75">
      <c r="A48" s="11" t="s">
        <v>35</v>
      </c>
      <c r="B48" s="45">
        <f>SUM(MFC:ÚZSVM!B48)</f>
        <v>399075</v>
      </c>
      <c r="C48" s="12">
        <f>SUM(MFC:ÚZSVM!C48)</f>
        <v>236578</v>
      </c>
      <c r="D48" s="12">
        <f>SUM(MFC:ÚZSVM!D48)</f>
        <v>275053</v>
      </c>
      <c r="E48" s="12">
        <f>SUM(MFC:ÚZSVM!E48)</f>
        <v>288107.75800000003</v>
      </c>
      <c r="F48" s="12">
        <f>SUM(MFC:ÚZSVM!F48)</f>
        <v>279200</v>
      </c>
      <c r="G48" s="113">
        <f aca="true" t="shared" si="4" ref="G48:G59">F48/D48*100</f>
        <v>101.50770942327479</v>
      </c>
      <c r="H48" s="114">
        <f t="shared" si="2"/>
        <v>96.90818530474975</v>
      </c>
      <c r="I48" s="71"/>
      <c r="J48" s="71"/>
      <c r="K48" s="23"/>
    </row>
    <row r="49" spans="1:11" ht="12.75">
      <c r="A49" s="11" t="s">
        <v>36</v>
      </c>
      <c r="B49" s="45">
        <f>SUM(MFC:ÚZSVM!B49)</f>
        <v>434041</v>
      </c>
      <c r="C49" s="12">
        <f>SUM(MFC:ÚZSVM!C49)</f>
        <v>480159</v>
      </c>
      <c r="D49" s="12">
        <f>SUM(MFC:ÚZSVM!D49)</f>
        <v>449109</v>
      </c>
      <c r="E49" s="12">
        <f>SUM(MFC:ÚZSVM!E49)</f>
        <v>413395.47</v>
      </c>
      <c r="F49" s="12">
        <f>SUM(MFC:ÚZSVM!F49)</f>
        <v>410839</v>
      </c>
      <c r="G49" s="113">
        <f t="shared" si="4"/>
        <v>91.47868334858575</v>
      </c>
      <c r="H49" s="114">
        <f t="shared" si="2"/>
        <v>99.38159215919808</v>
      </c>
      <c r="I49" s="71"/>
      <c r="J49" s="71"/>
      <c r="K49" s="23"/>
    </row>
    <row r="50" spans="1:11" ht="12.75">
      <c r="A50" s="11" t="s">
        <v>37</v>
      </c>
      <c r="B50" s="45">
        <f>SUM(MFC:ÚZSVM!B50)</f>
        <v>2598517</v>
      </c>
      <c r="C50" s="12">
        <f>SUM(MFC:ÚZSVM!C50)</f>
        <v>2295762</v>
      </c>
      <c r="D50" s="12">
        <f>SUM(MFC:ÚZSVM!D50)</f>
        <v>2659671</v>
      </c>
      <c r="E50" s="12">
        <f>SUM(MFC:ÚZSVM!E50)</f>
        <v>2715514.633</v>
      </c>
      <c r="F50" s="12">
        <f>SUM(MFC:ÚZSVM!F50)</f>
        <v>2488409</v>
      </c>
      <c r="G50" s="113">
        <f t="shared" si="4"/>
        <v>93.56078251783774</v>
      </c>
      <c r="H50" s="114">
        <f t="shared" si="2"/>
        <v>91.6367369101929</v>
      </c>
      <c r="I50" s="71"/>
      <c r="J50" s="71"/>
      <c r="K50" s="23"/>
    </row>
    <row r="51" spans="1:11" ht="12.75">
      <c r="A51" s="11" t="s">
        <v>38</v>
      </c>
      <c r="B51" s="45">
        <f>SUM(MFC:ÚZSVM!B51)</f>
        <v>224600</v>
      </c>
      <c r="C51" s="12">
        <f>SUM(MFC:ÚZSVM!C51)</f>
        <v>176724</v>
      </c>
      <c r="D51" s="12">
        <f>SUM(MFC:ÚZSVM!D51)</f>
        <v>339988</v>
      </c>
      <c r="E51" s="12">
        <f>SUM(MFC:ÚZSVM!E51)</f>
        <v>341400.6</v>
      </c>
      <c r="F51" s="12">
        <f>SUM(MFC:ÚZSVM!F51)+1</f>
        <v>340084</v>
      </c>
      <c r="G51" s="113">
        <f t="shared" si="4"/>
        <v>100.02823629069262</v>
      </c>
      <c r="H51" s="114">
        <f t="shared" si="2"/>
        <v>99.61435334325716</v>
      </c>
      <c r="I51" s="71"/>
      <c r="J51" s="71"/>
      <c r="K51" s="23"/>
    </row>
    <row r="52" spans="1:11" ht="12.75">
      <c r="A52" s="11" t="s">
        <v>39</v>
      </c>
      <c r="B52" s="45">
        <f>SUM(MFC:ÚZSVM!B52)</f>
        <v>600743</v>
      </c>
      <c r="C52" s="12">
        <f>SUM(MFC:ÚZSVM!C52)</f>
        <v>452416</v>
      </c>
      <c r="D52" s="12">
        <f>SUM(MFC:ÚZSVM!D52)</f>
        <v>472743</v>
      </c>
      <c r="E52" s="12">
        <f>SUM(MFC:ÚZSVM!E52)</f>
        <v>426580.44200000004</v>
      </c>
      <c r="F52" s="12">
        <f>SUM(MFC:ÚZSVM!F52)</f>
        <v>389859</v>
      </c>
      <c r="G52" s="113">
        <f t="shared" si="4"/>
        <v>82.46742944898179</v>
      </c>
      <c r="H52" s="114">
        <f t="shared" si="2"/>
        <v>91.39167238239206</v>
      </c>
      <c r="I52" s="71"/>
      <c r="J52" s="71"/>
      <c r="K52" s="23"/>
    </row>
    <row r="53" spans="1:11" ht="12.75">
      <c r="A53" s="11" t="s">
        <v>40</v>
      </c>
      <c r="B53" s="45">
        <f>SUM(MFC:ÚZSVM!B53)</f>
        <v>405096</v>
      </c>
      <c r="C53" s="12">
        <f>SUM(MFC:ÚZSVM!C53)</f>
        <v>332485</v>
      </c>
      <c r="D53" s="12">
        <f>SUM(MFC:ÚZSVM!D53)</f>
        <v>324446</v>
      </c>
      <c r="E53" s="12">
        <f>SUM(MFC:ÚZSVM!E53)</f>
        <v>275286.45900000003</v>
      </c>
      <c r="F53" s="12">
        <f>SUM(MFC:ÚZSVM!F53)</f>
        <v>261201</v>
      </c>
      <c r="G53" s="113">
        <f t="shared" si="4"/>
        <v>80.50677154287617</v>
      </c>
      <c r="H53" s="114">
        <f t="shared" si="2"/>
        <v>94.8833447706921</v>
      </c>
      <c r="I53" s="71"/>
      <c r="J53" s="71"/>
      <c r="K53" s="23"/>
    </row>
    <row r="54" spans="1:11" ht="12.75">
      <c r="A54" s="11" t="s">
        <v>41</v>
      </c>
      <c r="B54" s="45">
        <f>SUM(MFC:ÚZSVM!B54)</f>
        <v>67362</v>
      </c>
      <c r="C54" s="12">
        <f>SUM(MFC:ÚZSVM!C54)</f>
        <v>2140</v>
      </c>
      <c r="D54" s="12">
        <f>SUM(MFC:ÚZSVM!D54)</f>
        <v>23459</v>
      </c>
      <c r="E54" s="12">
        <f>SUM(MFC:ÚZSVM!E54)</f>
        <v>23971</v>
      </c>
      <c r="F54" s="12">
        <f>SUM(MFC:ÚZSVM!F54)</f>
        <v>20635</v>
      </c>
      <c r="G54" s="113">
        <f t="shared" si="4"/>
        <v>87.96197621381985</v>
      </c>
      <c r="H54" s="114">
        <f t="shared" si="2"/>
        <v>86.08318384714863</v>
      </c>
      <c r="I54" s="71"/>
      <c r="J54" s="71"/>
      <c r="K54" s="23"/>
    </row>
    <row r="55" spans="1:11" ht="12.75">
      <c r="A55" s="11" t="s">
        <v>42</v>
      </c>
      <c r="B55" s="45">
        <f>SUM(MFC:ÚZSVM!B55)</f>
        <v>103314</v>
      </c>
      <c r="C55" s="12">
        <f>SUM(MFC:ÚZSVM!C55)</f>
        <v>99038</v>
      </c>
      <c r="D55" s="12">
        <f>SUM(MFC:ÚZSVM!D55)</f>
        <v>104639</v>
      </c>
      <c r="E55" s="12">
        <f>SUM(MFC:ÚZSVM!E55)</f>
        <v>108755</v>
      </c>
      <c r="F55" s="12">
        <f>SUM(MFC:ÚZSVM!F55)</f>
        <v>91138</v>
      </c>
      <c r="G55" s="113">
        <f t="shared" si="4"/>
        <v>87.09754489243973</v>
      </c>
      <c r="H55" s="114">
        <f t="shared" si="2"/>
        <v>83.8012045423199</v>
      </c>
      <c r="I55" s="71"/>
      <c r="J55" s="71"/>
      <c r="K55" s="23"/>
    </row>
    <row r="56" spans="1:11" ht="13.5" thickBot="1">
      <c r="A56" s="37" t="s">
        <v>43</v>
      </c>
      <c r="B56" s="81">
        <f>SUM(MFC:ÚZSVM!B56)</f>
        <v>297486</v>
      </c>
      <c r="C56" s="38">
        <f>SUM(MFC:ÚZSVM!C56)</f>
        <v>239672</v>
      </c>
      <c r="D56" s="38">
        <f>SUM(MFC:ÚZSVM!D56)</f>
        <v>327071</v>
      </c>
      <c r="E56" s="38">
        <f>SUM(MFC:ÚZSVM!E56)</f>
        <v>304847.78746</v>
      </c>
      <c r="F56" s="38">
        <f>SUM(MFC:ÚZSVM!F56)</f>
        <v>194267</v>
      </c>
      <c r="G56" s="128">
        <f t="shared" si="4"/>
        <v>59.395972128375796</v>
      </c>
      <c r="H56" s="122">
        <f t="shared" si="2"/>
        <v>63.72590125014121</v>
      </c>
      <c r="I56" s="71"/>
      <c r="J56" s="71"/>
      <c r="K56" s="23"/>
    </row>
    <row r="57" spans="1:11" ht="12.75">
      <c r="A57" s="11" t="s">
        <v>44</v>
      </c>
      <c r="B57" s="45">
        <f>SUM(MFC:ÚZSVM!B57)</f>
        <v>24942</v>
      </c>
      <c r="C57" s="12">
        <f>SUM(MFC:ÚZSVM!C57)</f>
        <v>25002</v>
      </c>
      <c r="D57" s="12">
        <f>SUM(MFC:ÚZSVM!D57)</f>
        <v>25003</v>
      </c>
      <c r="E57" s="12">
        <f>SUM(MFC:ÚZSVM!E57)</f>
        <v>25003</v>
      </c>
      <c r="F57" s="12">
        <f>SUM(MFC:ÚZSVM!F57)</f>
        <v>24186</v>
      </c>
      <c r="G57" s="113">
        <f t="shared" si="4"/>
        <v>96.73239211294644</v>
      </c>
      <c r="H57" s="114">
        <f t="shared" si="2"/>
        <v>96.73239211294644</v>
      </c>
      <c r="I57" s="71"/>
      <c r="J57" s="71"/>
      <c r="K57" s="23"/>
    </row>
    <row r="58" spans="1:11" ht="12.75">
      <c r="A58" s="11" t="s">
        <v>45</v>
      </c>
      <c r="B58" s="45">
        <f>B41/B57/12*1000</f>
        <v>27245.295752813192</v>
      </c>
      <c r="C58" s="12">
        <f>C41/C57/12*1000</f>
        <v>27622.236887715648</v>
      </c>
      <c r="D58" s="12">
        <f>D41/D57/12*1000</f>
        <v>27808.426322174673</v>
      </c>
      <c r="E58" s="12">
        <f>E41/E57/12*1000</f>
        <v>27163.81367569225</v>
      </c>
      <c r="F58" s="12">
        <f>F41/F57/12*1000</f>
        <v>28017.02775710466</v>
      </c>
      <c r="G58" s="113">
        <f t="shared" si="4"/>
        <v>100.75013750333525</v>
      </c>
      <c r="H58" s="114">
        <f t="shared" si="2"/>
        <v>103.14099519161375</v>
      </c>
      <c r="I58" s="23"/>
      <c r="J58" s="23"/>
      <c r="K58" s="23"/>
    </row>
    <row r="59" spans="1:11" ht="13.5" thickBot="1">
      <c r="A59" s="7" t="s">
        <v>46</v>
      </c>
      <c r="B59" s="82">
        <f>B46/B57*1000</f>
        <v>173597.22556330686</v>
      </c>
      <c r="C59" s="13">
        <f>C46/C57*1000</f>
        <v>148171.6262698984</v>
      </c>
      <c r="D59" s="13">
        <f>D46/D57*1000</f>
        <v>167325.80090389153</v>
      </c>
      <c r="E59" s="13">
        <f>E46/E57*1000</f>
        <v>165917.93346638404</v>
      </c>
      <c r="F59" s="13">
        <f>F46/F57*1000</f>
        <v>155568.2626312743</v>
      </c>
      <c r="G59" s="129">
        <f t="shared" si="4"/>
        <v>92.97326640057707</v>
      </c>
      <c r="H59" s="130">
        <f t="shared" si="2"/>
        <v>93.762174697525</v>
      </c>
      <c r="I59" s="23"/>
      <c r="J59" s="23"/>
      <c r="K59" s="23"/>
    </row>
    <row r="61" ht="12.75">
      <c r="B61" s="75"/>
    </row>
    <row r="62" ht="12.75">
      <c r="B62" s="75"/>
    </row>
  </sheetData>
  <mergeCells count="1">
    <mergeCell ref="C4:H4"/>
  </mergeCells>
  <printOptions/>
  <pageMargins left="1.1811023622047245" right="0" top="0.984251968503937" bottom="0.3937007874015748" header="0.31496062992125984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