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4"/>
  </bookViews>
  <sheets>
    <sheet name="MF" sheetId="1" r:id="rId1"/>
    <sheet name="ÚFO" sheetId="2" r:id="rId2"/>
    <sheet name="GŘC" sheetId="3" r:id="rId3"/>
    <sheet name="ÚZSVM" sheetId="4" r:id="rId4"/>
    <sheet name="kapitola" sheetId="5" r:id="rId5"/>
  </sheets>
  <definedNames/>
  <calcPr fullCalcOnLoad="1"/>
</workbook>
</file>

<file path=xl/sharedStrings.xml><?xml version="1.0" encoding="utf-8"?>
<sst xmlns="http://schemas.openxmlformats.org/spreadsheetml/2006/main" count="100" uniqueCount="25">
  <si>
    <r>
      <t>základní ukazatele</t>
    </r>
    <r>
      <rPr>
        <sz val="10"/>
        <rFont val="Arial CE"/>
        <family val="0"/>
      </rPr>
      <t>:</t>
    </r>
  </si>
  <si>
    <r>
      <t>základní ukazatele</t>
    </r>
    <r>
      <rPr>
        <sz val="10"/>
        <rFont val="Arial CE"/>
        <family val="2"/>
      </rPr>
      <t>:</t>
    </r>
  </si>
  <si>
    <t>z toho: běžné výdaje</t>
  </si>
  <si>
    <t>počet zaměstnanců</t>
  </si>
  <si>
    <t>Daňové příjmy (kapitola VPS)</t>
  </si>
  <si>
    <t>Příjmy celkem</t>
  </si>
  <si>
    <t>Výdaje celkem</t>
  </si>
  <si>
    <t>Příjmy v kapitole 312 - MF</t>
  </si>
  <si>
    <t>Příjmy na 1 Kč výdajů</t>
  </si>
  <si>
    <t>v tis. Kč</t>
  </si>
  <si>
    <t>efektivnost a nákladovost</t>
  </si>
  <si>
    <r>
      <t xml:space="preserve">Vývoj nákladovosti a efektivnosti činnosti organizačních složek státu financovaných z </t>
    </r>
    <r>
      <rPr>
        <b/>
        <u val="single"/>
        <sz val="10"/>
        <rFont val="Arial CE"/>
        <family val="2"/>
      </rPr>
      <t>kapitoly 312 - MF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</si>
  <si>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územních finančních orgánů</t>
    </r>
  </si>
  <si>
    <r>
      <t xml:space="preserve">Vývoj nákladovosti a efektivnosti činnosti </t>
    </r>
    <r>
      <rPr>
        <b/>
        <u val="single"/>
        <sz val="10"/>
        <rFont val="Arial CE"/>
        <family val="2"/>
      </rPr>
      <t>Generálního ředitelství cel</t>
    </r>
  </si>
  <si>
    <r>
      <t>Vývoj nákladovosti a efektivnosti činnosti</t>
    </r>
    <r>
      <rPr>
        <b/>
        <u val="single"/>
        <sz val="10"/>
        <rFont val="Arial CE"/>
        <family val="2"/>
      </rPr>
      <t xml:space="preserve"> Ministerstva financí</t>
    </r>
  </si>
  <si>
    <t xml:space="preserve">z toho: běžné výdaje </t>
  </si>
  <si>
    <t>Výdaje na 100 Kč příjmů</t>
  </si>
  <si>
    <t>Výdaje na 1 zaměstnance v Kč</t>
  </si>
  <si>
    <t>Běžné výdaje na 1 zaměstnance v Kč</t>
  </si>
  <si>
    <t>Příjmy na 1 zaměstnance v Kč</t>
  </si>
  <si>
    <t>Poznámka: *) ve vztahu k výdajům  bez tvorby rezervního fondu</t>
  </si>
  <si>
    <t>Výdaje (bez tvorby RF)</t>
  </si>
  <si>
    <t>efektivnost  *)</t>
  </si>
  <si>
    <t>nákladovost *)</t>
  </si>
  <si>
    <r>
      <t xml:space="preserve">Vývoj nákladovosti a efektivnosti činnosti </t>
    </r>
    <r>
      <rPr>
        <b/>
        <u val="single"/>
        <sz val="10"/>
        <rFont val="Arial CE"/>
        <family val="2"/>
      </rPr>
      <t>Úřadu pro zastupování státu ve věcech majetkových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</si>
</sst>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;\-#,##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5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3" fontId="1" fillId="0" borderId="8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M11" sqref="M11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1.125" style="0" customWidth="1"/>
    <col min="6" max="6" width="10.25390625" style="0" customWidth="1"/>
    <col min="7" max="7" width="11.125" style="0" customWidth="1"/>
    <col min="8" max="9" width="10.75390625" style="0" customWidth="1"/>
    <col min="10" max="10" width="11.625" style="0" customWidth="1"/>
  </cols>
  <sheetData>
    <row r="4" spans="1:8" ht="12.75">
      <c r="A4" s="1" t="s">
        <v>14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0" ht="13.5" thickBot="1">
      <c r="E7" s="9"/>
      <c r="F7" s="9"/>
      <c r="H7" s="9"/>
      <c r="J7" s="9" t="s">
        <v>9</v>
      </c>
    </row>
    <row r="8" spans="1:10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</row>
    <row r="9" spans="1:10" ht="12.75">
      <c r="A9" s="28" t="s">
        <v>0</v>
      </c>
      <c r="B9" s="29"/>
      <c r="C9" s="29"/>
      <c r="D9" s="30"/>
      <c r="E9" s="30"/>
      <c r="F9" s="30"/>
      <c r="G9" s="30"/>
      <c r="H9" s="30"/>
      <c r="I9" s="30"/>
      <c r="J9" s="30"/>
    </row>
    <row r="10" spans="1:10" ht="12.75">
      <c r="A10" s="3" t="s">
        <v>4</v>
      </c>
      <c r="B10" s="11"/>
      <c r="C10" s="11"/>
      <c r="D10" s="12"/>
      <c r="E10" s="12"/>
      <c r="F10" s="12"/>
      <c r="G10" s="12"/>
      <c r="H10" s="12"/>
      <c r="I10" s="12"/>
      <c r="J10" s="12"/>
    </row>
    <row r="11" spans="1:10" ht="12.75">
      <c r="A11" s="3" t="s">
        <v>7</v>
      </c>
      <c r="B11" s="11">
        <v>65768</v>
      </c>
      <c r="C11" s="11">
        <v>25623</v>
      </c>
      <c r="D11" s="12">
        <v>210666</v>
      </c>
      <c r="E11" s="12">
        <v>96112</v>
      </c>
      <c r="F11" s="12">
        <v>338006</v>
      </c>
      <c r="G11" s="12">
        <v>573678</v>
      </c>
      <c r="H11" s="12">
        <v>716211</v>
      </c>
      <c r="I11" s="12">
        <v>618340</v>
      </c>
      <c r="J11" s="12">
        <v>2456412</v>
      </c>
    </row>
    <row r="12" spans="1:10" ht="12.75">
      <c r="A12" s="4" t="s">
        <v>5</v>
      </c>
      <c r="B12" s="13">
        <f aca="true" t="shared" si="0" ref="B12:J12">SUM(B10:B11)</f>
        <v>65768</v>
      </c>
      <c r="C12" s="13">
        <f t="shared" si="0"/>
        <v>25623</v>
      </c>
      <c r="D12" s="14">
        <f t="shared" si="0"/>
        <v>210666</v>
      </c>
      <c r="E12" s="14">
        <f t="shared" si="0"/>
        <v>96112</v>
      </c>
      <c r="F12" s="14">
        <f t="shared" si="0"/>
        <v>338006</v>
      </c>
      <c r="G12" s="14">
        <f t="shared" si="0"/>
        <v>573678</v>
      </c>
      <c r="H12" s="14">
        <f t="shared" si="0"/>
        <v>716211</v>
      </c>
      <c r="I12" s="14">
        <f t="shared" si="0"/>
        <v>618340</v>
      </c>
      <c r="J12" s="14">
        <f t="shared" si="0"/>
        <v>2456412</v>
      </c>
    </row>
    <row r="13" spans="1:10" ht="12.75">
      <c r="A13" s="58" t="s">
        <v>6</v>
      </c>
      <c r="B13" s="59">
        <v>1612428</v>
      </c>
      <c r="C13" s="59">
        <v>1365135</v>
      </c>
      <c r="D13" s="60">
        <v>2284497</v>
      </c>
      <c r="E13" s="60">
        <v>2283058</v>
      </c>
      <c r="F13" s="60">
        <v>2508569</v>
      </c>
      <c r="G13" s="60">
        <v>2735528</v>
      </c>
      <c r="H13" s="60">
        <v>2746825</v>
      </c>
      <c r="I13" s="60">
        <v>2879133</v>
      </c>
      <c r="J13" s="60">
        <v>2911332</v>
      </c>
    </row>
    <row r="14" spans="1:10" ht="12.75">
      <c r="A14" s="3" t="s">
        <v>2</v>
      </c>
      <c r="B14" s="11">
        <v>1037443</v>
      </c>
      <c r="C14" s="11">
        <v>1007198</v>
      </c>
      <c r="D14" s="12">
        <v>1684418</v>
      </c>
      <c r="E14" s="12">
        <v>1708909</v>
      </c>
      <c r="F14" s="12">
        <v>1837022</v>
      </c>
      <c r="G14" s="12">
        <v>2101680</v>
      </c>
      <c r="H14" s="12">
        <v>2062260</v>
      </c>
      <c r="I14" s="12">
        <v>2112042</v>
      </c>
      <c r="J14" s="12">
        <v>2353936</v>
      </c>
    </row>
    <row r="15" spans="1:10" ht="12.75">
      <c r="A15" s="4" t="s">
        <v>21</v>
      </c>
      <c r="B15" s="15"/>
      <c r="C15" s="15"/>
      <c r="D15" s="18">
        <f>D13-33178</f>
        <v>2251319</v>
      </c>
      <c r="E15" s="57">
        <f>E13-46228</f>
        <v>2236830</v>
      </c>
      <c r="F15" s="57">
        <f>F13-290723</f>
        <v>2217846</v>
      </c>
      <c r="G15" s="57">
        <f>G13-404353</f>
        <v>2331175</v>
      </c>
      <c r="H15" s="57">
        <f>H13-291005</f>
        <v>2455820</v>
      </c>
      <c r="I15" s="57">
        <f>I13-433289</f>
        <v>2445844</v>
      </c>
      <c r="J15" s="62">
        <v>2911332</v>
      </c>
    </row>
    <row r="16" spans="1:10" ht="12.75">
      <c r="A16" s="3" t="s">
        <v>2</v>
      </c>
      <c r="B16" s="15"/>
      <c r="C16" s="15"/>
      <c r="D16" s="16">
        <f>D14-22500</f>
        <v>1661918</v>
      </c>
      <c r="E16" s="56">
        <f>E14-32927</f>
        <v>1675982</v>
      </c>
      <c r="F16" s="56">
        <f>F14-171223</f>
        <v>1665799</v>
      </c>
      <c r="G16" s="56">
        <f>G14-217150</f>
        <v>1884530</v>
      </c>
      <c r="H16" s="56">
        <f>H14-181005</f>
        <v>1881255</v>
      </c>
      <c r="I16" s="56">
        <f>I14-234961</f>
        <v>1877081</v>
      </c>
      <c r="J16" s="12">
        <v>2353936</v>
      </c>
    </row>
    <row r="17" spans="1:10" ht="13.5" thickBot="1">
      <c r="A17" s="10" t="s">
        <v>3</v>
      </c>
      <c r="B17" s="17">
        <v>1175</v>
      </c>
      <c r="C17" s="17">
        <v>1143</v>
      </c>
      <c r="D17" s="18">
        <v>1400</v>
      </c>
      <c r="E17" s="48">
        <v>1442</v>
      </c>
      <c r="F17" s="48">
        <v>1449</v>
      </c>
      <c r="G17" s="48">
        <v>1411</v>
      </c>
      <c r="H17" s="48">
        <v>1286</v>
      </c>
      <c r="I17" s="48">
        <v>1306</v>
      </c>
      <c r="J17" s="48">
        <v>1374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0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</row>
    <row r="22" spans="1:10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</row>
    <row r="24" spans="1:10" ht="12.75">
      <c r="A24" s="3" t="s">
        <v>8</v>
      </c>
      <c r="B24" s="21">
        <f>B12/B13</f>
        <v>0.04078817782871545</v>
      </c>
      <c r="C24" s="21">
        <f>C12/C13</f>
        <v>0.018769572240108123</v>
      </c>
      <c r="D24" s="22">
        <f aca="true" t="shared" si="1" ref="D24:I24">D12/D15</f>
        <v>0.09357447789495847</v>
      </c>
      <c r="E24" s="22">
        <f t="shared" si="1"/>
        <v>0.04296795017949509</v>
      </c>
      <c r="F24" s="22">
        <f t="shared" si="1"/>
        <v>0.15240282688698856</v>
      </c>
      <c r="G24" s="22">
        <f t="shared" si="1"/>
        <v>0.24608963291044217</v>
      </c>
      <c r="H24" s="22">
        <f t="shared" si="1"/>
        <v>0.291638230814962</v>
      </c>
      <c r="I24" s="22">
        <f t="shared" si="1"/>
        <v>0.2528125260646223</v>
      </c>
      <c r="J24" s="22">
        <f>J12/J15</f>
        <v>0.843741627543681</v>
      </c>
    </row>
    <row r="25" spans="1:10" ht="13.5" thickBot="1">
      <c r="A25" s="5" t="s">
        <v>19</v>
      </c>
      <c r="B25" s="15">
        <f aca="true" t="shared" si="2" ref="B25:H25">B12/B17*1000</f>
        <v>55972.76595744681</v>
      </c>
      <c r="C25" s="15">
        <f t="shared" si="2"/>
        <v>22417.32283464567</v>
      </c>
      <c r="D25" s="16">
        <f t="shared" si="2"/>
        <v>150475.71428571426</v>
      </c>
      <c r="E25" s="16">
        <f t="shared" si="2"/>
        <v>66651.87239944522</v>
      </c>
      <c r="F25" s="16">
        <f t="shared" si="2"/>
        <v>233268.46100759145</v>
      </c>
      <c r="G25" s="16">
        <f t="shared" si="2"/>
        <v>406575.4783841247</v>
      </c>
      <c r="H25" s="16">
        <f t="shared" si="2"/>
        <v>556929.2379471228</v>
      </c>
      <c r="I25" s="16">
        <f>I12/I17*1000</f>
        <v>473460.9494640122</v>
      </c>
      <c r="J25" s="16">
        <f>J12/J17*1000</f>
        <v>1787781.6593886463</v>
      </c>
    </row>
    <row r="26" spans="1:10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</row>
    <row r="27" spans="1:10" ht="12.75">
      <c r="A27" s="3" t="s">
        <v>16</v>
      </c>
      <c r="B27" s="21">
        <f>B13/B12</f>
        <v>24.51690791874468</v>
      </c>
      <c r="C27" s="21">
        <f>C13/C12</f>
        <v>53.27771923662335</v>
      </c>
      <c r="D27" s="22">
        <f aca="true" t="shared" si="3" ref="D27:I27">D15/D12*100</f>
        <v>1068.6674641375448</v>
      </c>
      <c r="E27" s="22">
        <f t="shared" si="3"/>
        <v>2327.3160479440653</v>
      </c>
      <c r="F27" s="22">
        <f t="shared" si="3"/>
        <v>656.1558078850671</v>
      </c>
      <c r="G27" s="22">
        <f t="shared" si="3"/>
        <v>406.3560045879396</v>
      </c>
      <c r="H27" s="22">
        <f t="shared" si="3"/>
        <v>342.8905727502091</v>
      </c>
      <c r="I27" s="22">
        <f t="shared" si="3"/>
        <v>395.5500210240321</v>
      </c>
      <c r="J27" s="22">
        <f>J15/J12*100</f>
        <v>118.51969457892241</v>
      </c>
    </row>
    <row r="28" spans="1:10" ht="12.75">
      <c r="A28" s="3" t="s">
        <v>17</v>
      </c>
      <c r="B28" s="11">
        <f>B13/B17*1000</f>
        <v>1372279.1489361702</v>
      </c>
      <c r="C28" s="11">
        <f>C13/C17*1000</f>
        <v>1194343.8320209973</v>
      </c>
      <c r="D28" s="12">
        <f aca="true" t="shared" si="4" ref="D28:I28">D15/D17*1000</f>
        <v>1608085</v>
      </c>
      <c r="E28" s="12">
        <f t="shared" si="4"/>
        <v>1551199.7226074894</v>
      </c>
      <c r="F28" s="12">
        <f t="shared" si="4"/>
        <v>1530604.5548654245</v>
      </c>
      <c r="G28" s="12">
        <f t="shared" si="4"/>
        <v>1652143.8695960313</v>
      </c>
      <c r="H28" s="12">
        <f t="shared" si="4"/>
        <v>1909657.8538102645</v>
      </c>
      <c r="I28" s="12">
        <f t="shared" si="4"/>
        <v>1872774.8851454824</v>
      </c>
      <c r="J28" s="12">
        <f>J15/J17*1000</f>
        <v>2118873.362445415</v>
      </c>
    </row>
    <row r="29" spans="1:10" ht="13.5" thickBot="1">
      <c r="A29" s="7" t="s">
        <v>18</v>
      </c>
      <c r="B29" s="31">
        <f>B14/B17*1000</f>
        <v>882930.2127659575</v>
      </c>
      <c r="C29" s="31">
        <f>C14/C17*1000</f>
        <v>881188.1014873141</v>
      </c>
      <c r="D29" s="32">
        <f aca="true" t="shared" si="5" ref="D29:I29">D16/D17*1000</f>
        <v>1187084.2857142857</v>
      </c>
      <c r="E29" s="32">
        <f t="shared" si="5"/>
        <v>1162262.1359223302</v>
      </c>
      <c r="F29" s="32">
        <f t="shared" si="5"/>
        <v>1149619.7377501726</v>
      </c>
      <c r="G29" s="32">
        <f t="shared" si="5"/>
        <v>1335598.8660524453</v>
      </c>
      <c r="H29" s="32">
        <f t="shared" si="5"/>
        <v>1462873.2503888025</v>
      </c>
      <c r="I29" s="32">
        <f t="shared" si="5"/>
        <v>1437274.8851454824</v>
      </c>
      <c r="J29" s="32">
        <f>J16/J17*1000</f>
        <v>1713199.4177583696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M20" sqref="M20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375" style="0" hidden="1" customWidth="1"/>
    <col min="5" max="5" width="11.875" style="0" customWidth="1"/>
    <col min="6" max="6" width="12.25390625" style="0" customWidth="1"/>
    <col min="7" max="7" width="12.00390625" style="0" customWidth="1"/>
    <col min="8" max="8" width="12.25390625" style="0" customWidth="1"/>
    <col min="9" max="10" width="11.75390625" style="0" customWidth="1"/>
  </cols>
  <sheetData>
    <row r="4" spans="1:8" ht="12.75">
      <c r="A4" s="1" t="s">
        <v>12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4" ht="12.75">
      <c r="A6" s="1"/>
      <c r="B6" s="1"/>
      <c r="C6" s="1"/>
      <c r="D6" s="1"/>
    </row>
    <row r="7" spans="5:10" ht="13.5" thickBot="1">
      <c r="E7" s="9"/>
      <c r="F7" s="9"/>
      <c r="H7" s="9"/>
      <c r="J7" s="9" t="s">
        <v>9</v>
      </c>
    </row>
    <row r="8" spans="1:10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</row>
    <row r="9" spans="1:10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</row>
    <row r="10" spans="1:10" ht="12.75">
      <c r="A10" s="3" t="s">
        <v>4</v>
      </c>
      <c r="B10" s="11">
        <v>166015000</v>
      </c>
      <c r="C10" s="11">
        <v>171354000</v>
      </c>
      <c r="D10" s="47">
        <v>208850701</v>
      </c>
      <c r="E10" s="47">
        <v>225634568</v>
      </c>
      <c r="F10" s="47">
        <v>323451572</v>
      </c>
      <c r="G10" s="47">
        <v>514523656</v>
      </c>
      <c r="H10" s="47">
        <v>513725958</v>
      </c>
      <c r="I10" s="47">
        <v>576506118</v>
      </c>
      <c r="J10" s="47">
        <v>606664861</v>
      </c>
    </row>
    <row r="11" spans="1:10" ht="12.75">
      <c r="A11" s="3" t="s">
        <v>7</v>
      </c>
      <c r="B11" s="11">
        <v>17941</v>
      </c>
      <c r="C11" s="11">
        <v>16183</v>
      </c>
      <c r="D11" s="12">
        <v>51653</v>
      </c>
      <c r="E11" s="12">
        <v>38317</v>
      </c>
      <c r="F11" s="12">
        <v>56620</v>
      </c>
      <c r="G11" s="12">
        <v>33608</v>
      </c>
      <c r="H11" s="12">
        <v>42518</v>
      </c>
      <c r="I11" s="12">
        <v>31645</v>
      </c>
      <c r="J11" s="12">
        <v>50363</v>
      </c>
    </row>
    <row r="12" spans="1:10" ht="12.75">
      <c r="A12" s="4" t="s">
        <v>5</v>
      </c>
      <c r="B12" s="13">
        <f aca="true" t="shared" si="0" ref="B12:J12">SUM(B10:B11)</f>
        <v>166032941</v>
      </c>
      <c r="C12" s="13">
        <f t="shared" si="0"/>
        <v>171370183</v>
      </c>
      <c r="D12" s="14">
        <f t="shared" si="0"/>
        <v>208902354</v>
      </c>
      <c r="E12" s="14">
        <f t="shared" si="0"/>
        <v>225672885</v>
      </c>
      <c r="F12" s="14">
        <f t="shared" si="0"/>
        <v>323508192</v>
      </c>
      <c r="G12" s="14">
        <f t="shared" si="0"/>
        <v>514557264</v>
      </c>
      <c r="H12" s="14">
        <f t="shared" si="0"/>
        <v>513768476</v>
      </c>
      <c r="I12" s="14">
        <f t="shared" si="0"/>
        <v>576537763</v>
      </c>
      <c r="J12" s="14">
        <f t="shared" si="0"/>
        <v>606715224</v>
      </c>
    </row>
    <row r="13" spans="1:10" ht="12.75">
      <c r="A13" s="58" t="s">
        <v>6</v>
      </c>
      <c r="B13" s="59">
        <v>4531326</v>
      </c>
      <c r="C13" s="59">
        <v>4581385</v>
      </c>
      <c r="D13" s="60">
        <v>5902626</v>
      </c>
      <c r="E13" s="60">
        <v>6417899</v>
      </c>
      <c r="F13" s="60">
        <v>6610832</v>
      </c>
      <c r="G13" s="60">
        <v>6926330</v>
      </c>
      <c r="H13" s="60">
        <v>7234856</v>
      </c>
      <c r="I13" s="60">
        <v>7635423</v>
      </c>
      <c r="J13" s="60">
        <v>7928825</v>
      </c>
    </row>
    <row r="14" spans="1:10" ht="12.75">
      <c r="A14" s="3" t="s">
        <v>2</v>
      </c>
      <c r="B14" s="11">
        <v>3840727</v>
      </c>
      <c r="C14" s="11">
        <v>3834738</v>
      </c>
      <c r="D14" s="12">
        <v>5543168</v>
      </c>
      <c r="E14" s="12">
        <v>5981917</v>
      </c>
      <c r="F14" s="12">
        <v>6285173</v>
      </c>
      <c r="G14" s="12">
        <v>6513866</v>
      </c>
      <c r="H14" s="12">
        <v>6941058</v>
      </c>
      <c r="I14" s="12">
        <v>7300002</v>
      </c>
      <c r="J14" s="12">
        <v>7440034</v>
      </c>
    </row>
    <row r="15" spans="1:10" ht="12.75">
      <c r="A15" s="4" t="s">
        <v>21</v>
      </c>
      <c r="B15" s="17"/>
      <c r="C15" s="17"/>
      <c r="D15" s="18">
        <f>D13-31096</f>
        <v>5871530</v>
      </c>
      <c r="E15" s="57">
        <f>E13-53473</f>
        <v>6364426</v>
      </c>
      <c r="F15" s="57">
        <f>F13-112833</f>
        <v>6497999</v>
      </c>
      <c r="G15" s="57">
        <f>G13-238349</f>
        <v>6687981</v>
      </c>
      <c r="H15" s="57">
        <f>H13-177309</f>
        <v>7057547</v>
      </c>
      <c r="I15" s="57">
        <v>7458474</v>
      </c>
      <c r="J15" s="57">
        <f>J13</f>
        <v>7928825</v>
      </c>
    </row>
    <row r="16" spans="1:10" ht="12.75">
      <c r="A16" s="3" t="s">
        <v>2</v>
      </c>
      <c r="B16" s="15"/>
      <c r="C16" s="15"/>
      <c r="D16" s="16">
        <f>D14-21158</f>
        <v>5522010</v>
      </c>
      <c r="E16" s="56">
        <f>E14-29140</f>
        <v>5952777</v>
      </c>
      <c r="F16" s="56">
        <f>F14-72492</f>
        <v>6212681</v>
      </c>
      <c r="G16" s="56">
        <f>G14-39594</f>
        <v>6474272</v>
      </c>
      <c r="H16" s="56">
        <f>H14-35183</f>
        <v>6905875</v>
      </c>
      <c r="I16" s="56">
        <v>7269592</v>
      </c>
      <c r="J16" s="56">
        <f>J14</f>
        <v>7440034</v>
      </c>
    </row>
    <row r="17" spans="1:10" ht="13.5" thickBot="1">
      <c r="A17" s="33" t="s">
        <v>3</v>
      </c>
      <c r="B17" s="34">
        <v>14105</v>
      </c>
      <c r="C17" s="34">
        <v>14121</v>
      </c>
      <c r="D17" s="35">
        <v>15649</v>
      </c>
      <c r="E17" s="48">
        <v>15668</v>
      </c>
      <c r="F17" s="48">
        <v>15600</v>
      </c>
      <c r="G17" s="48">
        <v>15474</v>
      </c>
      <c r="H17" s="48">
        <v>15619</v>
      </c>
      <c r="I17" s="48">
        <v>15629</v>
      </c>
      <c r="J17" s="48">
        <v>15379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0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</row>
    <row r="22" spans="1:10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2.75">
      <c r="A23" s="44" t="s">
        <v>22</v>
      </c>
      <c r="B23" s="19"/>
      <c r="C23" s="19"/>
      <c r="D23" s="20"/>
      <c r="E23" s="20"/>
      <c r="F23" s="20"/>
      <c r="G23" s="20"/>
      <c r="H23" s="20"/>
      <c r="I23" s="20"/>
      <c r="J23" s="20"/>
    </row>
    <row r="24" spans="1:10" ht="12.75">
      <c r="A24" s="3" t="s">
        <v>8</v>
      </c>
      <c r="B24" s="21">
        <f>B12/B13</f>
        <v>36.64113793622441</v>
      </c>
      <c r="C24" s="21">
        <f>C12/C13</f>
        <v>37.40575895717125</v>
      </c>
      <c r="D24" s="22">
        <f aca="true" t="shared" si="1" ref="D24:J24">D12/D15</f>
        <v>35.57886172769278</v>
      </c>
      <c r="E24" s="22">
        <f t="shared" si="1"/>
        <v>35.45848203750032</v>
      </c>
      <c r="F24" s="22">
        <f t="shared" si="1"/>
        <v>49.785817449340946</v>
      </c>
      <c r="G24" s="22">
        <f t="shared" si="1"/>
        <v>76.9376085249046</v>
      </c>
      <c r="H24" s="22">
        <f t="shared" si="1"/>
        <v>72.79703216995934</v>
      </c>
      <c r="I24" s="22">
        <f t="shared" si="1"/>
        <v>77.29969468285336</v>
      </c>
      <c r="J24" s="22">
        <f t="shared" si="1"/>
        <v>76.52019359741197</v>
      </c>
    </row>
    <row r="25" spans="1:10" ht="13.5" thickBot="1">
      <c r="A25" s="5" t="s">
        <v>19</v>
      </c>
      <c r="B25" s="15">
        <f aca="true" t="shared" si="2" ref="B25:J25">B12/B17*1000</f>
        <v>11771211.697979439</v>
      </c>
      <c r="C25" s="15">
        <f t="shared" si="2"/>
        <v>12135839.034062743</v>
      </c>
      <c r="D25" s="16">
        <f t="shared" si="2"/>
        <v>13349246.21381558</v>
      </c>
      <c r="E25" s="16">
        <f t="shared" si="2"/>
        <v>14403426.410518253</v>
      </c>
      <c r="F25" s="16">
        <f t="shared" si="2"/>
        <v>20737704.615384616</v>
      </c>
      <c r="G25" s="16">
        <f t="shared" si="2"/>
        <v>33253022.10158976</v>
      </c>
      <c r="H25" s="16">
        <f t="shared" si="2"/>
        <v>32893813.688456364</v>
      </c>
      <c r="I25" s="16">
        <f t="shared" si="2"/>
        <v>36888973.25484676</v>
      </c>
      <c r="J25" s="16">
        <f t="shared" si="2"/>
        <v>39450889.134534106</v>
      </c>
    </row>
    <row r="26" spans="1:10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</row>
    <row r="27" spans="1:10" ht="12.75">
      <c r="A27" s="3" t="s">
        <v>16</v>
      </c>
      <c r="B27" s="21">
        <f>B13/B12</f>
        <v>0.02729172881422368</v>
      </c>
      <c r="C27" s="21">
        <f>C13/C12</f>
        <v>0.026733851360828623</v>
      </c>
      <c r="D27" s="22">
        <f aca="true" t="shared" si="3" ref="D27:J27">D15/D12*100</f>
        <v>2.810657653000885</v>
      </c>
      <c r="E27" s="22">
        <f t="shared" si="3"/>
        <v>2.820199688589083</v>
      </c>
      <c r="F27" s="22">
        <f t="shared" si="3"/>
        <v>2.0086041592418162</v>
      </c>
      <c r="G27" s="22">
        <f t="shared" si="3"/>
        <v>1.2997544623138388</v>
      </c>
      <c r="H27" s="22">
        <f t="shared" si="3"/>
        <v>1.3736823743930915</v>
      </c>
      <c r="I27" s="22">
        <f t="shared" si="3"/>
        <v>1.2936661704846557</v>
      </c>
      <c r="J27" s="22">
        <f t="shared" si="3"/>
        <v>1.3068445765587051</v>
      </c>
    </row>
    <row r="28" spans="1:10" ht="12.75">
      <c r="A28" s="3" t="s">
        <v>17</v>
      </c>
      <c r="B28" s="11">
        <f>B13/B17*1000</f>
        <v>321256.7174760723</v>
      </c>
      <c r="C28" s="11">
        <f>C13/C17*1000</f>
        <v>324437.7168755754</v>
      </c>
      <c r="D28" s="12">
        <f aca="true" t="shared" si="4" ref="D28:J28">D15/D17*1000</f>
        <v>375201.61032653844</v>
      </c>
      <c r="E28" s="12">
        <f t="shared" si="4"/>
        <v>406205.38677559356</v>
      </c>
      <c r="F28" s="12">
        <f t="shared" si="4"/>
        <v>416538.39743589744</v>
      </c>
      <c r="G28" s="12">
        <f t="shared" si="4"/>
        <v>432207.63861962</v>
      </c>
      <c r="H28" s="12">
        <f t="shared" si="4"/>
        <v>451856.52090402716</v>
      </c>
      <c r="I28" s="12">
        <f t="shared" si="4"/>
        <v>477220.1676370849</v>
      </c>
      <c r="J28" s="12">
        <f t="shared" si="4"/>
        <v>515561.80505884654</v>
      </c>
    </row>
    <row r="29" spans="1:10" ht="13.5" thickBot="1">
      <c r="A29" s="7" t="s">
        <v>18</v>
      </c>
      <c r="B29" s="31">
        <f>B14/B17*1000</f>
        <v>272295.4271534917</v>
      </c>
      <c r="C29" s="31">
        <f>C14/C17*1000</f>
        <v>271562.7788400255</v>
      </c>
      <c r="D29" s="32">
        <f aca="true" t="shared" si="5" ref="D29:J29">D16/D17*1000</f>
        <v>352866.63684580487</v>
      </c>
      <c r="E29" s="32">
        <f t="shared" si="5"/>
        <v>379932.1547102374</v>
      </c>
      <c r="F29" s="32">
        <f t="shared" si="5"/>
        <v>398248.78205128206</v>
      </c>
      <c r="G29" s="32">
        <f t="shared" si="5"/>
        <v>418396.79462323897</v>
      </c>
      <c r="H29" s="32">
        <f t="shared" si="5"/>
        <v>442145.78398104873</v>
      </c>
      <c r="I29" s="32">
        <f t="shared" si="5"/>
        <v>465134.8134877471</v>
      </c>
      <c r="J29" s="32">
        <f t="shared" si="5"/>
        <v>483778.7892580792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M20" sqref="M20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1.75390625" style="0" hidden="1" customWidth="1"/>
    <col min="5" max="7" width="12.25390625" style="0" customWidth="1"/>
    <col min="8" max="9" width="11.875" style="0" customWidth="1"/>
    <col min="10" max="10" width="13.00390625" style="0" customWidth="1"/>
  </cols>
  <sheetData>
    <row r="4" spans="1:8" ht="12.75">
      <c r="A4" s="1" t="s">
        <v>13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0" ht="13.5" thickBot="1">
      <c r="E7" s="9"/>
      <c r="F7" s="9"/>
      <c r="H7" s="9"/>
      <c r="J7" s="9" t="s">
        <v>9</v>
      </c>
    </row>
    <row r="8" spans="1:10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</row>
    <row r="9" spans="1:10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</row>
    <row r="10" spans="1:10" ht="12.75">
      <c r="A10" s="3" t="s">
        <v>4</v>
      </c>
      <c r="B10" s="11">
        <v>190074199</v>
      </c>
      <c r="C10" s="11">
        <v>208234368</v>
      </c>
      <c r="D10" s="46">
        <v>274774314</v>
      </c>
      <c r="E10" s="46">
        <v>292594659</v>
      </c>
      <c r="F10" s="46">
        <v>233094216</v>
      </c>
      <c r="G10" s="46">
        <v>115227813</v>
      </c>
      <c r="H10" s="46">
        <v>121103833</v>
      </c>
      <c r="I10" s="46">
        <v>144566523</v>
      </c>
      <c r="J10" s="46">
        <v>138645647</v>
      </c>
    </row>
    <row r="11" spans="1:10" ht="12.75">
      <c r="A11" s="3" t="s">
        <v>7</v>
      </c>
      <c r="B11" s="11">
        <v>358223</v>
      </c>
      <c r="C11" s="11">
        <v>631587</v>
      </c>
      <c r="D11" s="12">
        <v>939987</v>
      </c>
      <c r="E11" s="12">
        <v>862121</v>
      </c>
      <c r="F11" s="12">
        <v>731654</v>
      </c>
      <c r="G11" s="12">
        <v>788166</v>
      </c>
      <c r="H11" s="12">
        <v>798270</v>
      </c>
      <c r="I11" s="12">
        <v>807887</v>
      </c>
      <c r="J11" s="12">
        <v>750003</v>
      </c>
    </row>
    <row r="12" spans="1:10" ht="12.75">
      <c r="A12" s="4" t="s">
        <v>5</v>
      </c>
      <c r="B12" s="13">
        <f aca="true" t="shared" si="0" ref="B12:J12">SUM(B10:B11)</f>
        <v>190432422</v>
      </c>
      <c r="C12" s="13">
        <f t="shared" si="0"/>
        <v>208865955</v>
      </c>
      <c r="D12" s="14">
        <f t="shared" si="0"/>
        <v>275714301</v>
      </c>
      <c r="E12" s="14">
        <f t="shared" si="0"/>
        <v>293456780</v>
      </c>
      <c r="F12" s="14">
        <f t="shared" si="0"/>
        <v>233825870</v>
      </c>
      <c r="G12" s="14">
        <f t="shared" si="0"/>
        <v>116015979</v>
      </c>
      <c r="H12" s="14">
        <f t="shared" si="0"/>
        <v>121902103</v>
      </c>
      <c r="I12" s="14">
        <f t="shared" si="0"/>
        <v>145374410</v>
      </c>
      <c r="J12" s="14">
        <f t="shared" si="0"/>
        <v>139395650</v>
      </c>
    </row>
    <row r="13" spans="1:10" ht="12.75">
      <c r="A13" s="58" t="s">
        <v>6</v>
      </c>
      <c r="B13" s="59">
        <v>4125119</v>
      </c>
      <c r="C13" s="59">
        <v>3943229</v>
      </c>
      <c r="D13" s="60">
        <v>4245469</v>
      </c>
      <c r="E13" s="60">
        <v>4701540</v>
      </c>
      <c r="F13" s="60">
        <v>4741003</v>
      </c>
      <c r="G13" s="60">
        <v>4639068</v>
      </c>
      <c r="H13" s="60">
        <f>4542556+1</f>
        <v>4542557</v>
      </c>
      <c r="I13" s="60">
        <v>4854309</v>
      </c>
      <c r="J13" s="60">
        <v>4662360</v>
      </c>
    </row>
    <row r="14" spans="1:10" ht="12.75">
      <c r="A14" s="3" t="s">
        <v>15</v>
      </c>
      <c r="B14" s="11">
        <v>3016434</v>
      </c>
      <c r="C14" s="11">
        <v>3102536</v>
      </c>
      <c r="D14" s="12">
        <v>3866266</v>
      </c>
      <c r="E14" s="12">
        <v>4183606</v>
      </c>
      <c r="F14" s="12">
        <v>4151560</v>
      </c>
      <c r="G14" s="12">
        <v>4197450</v>
      </c>
      <c r="H14" s="12">
        <f>4119632+1</f>
        <v>4119633</v>
      </c>
      <c r="I14" s="12">
        <v>4369544</v>
      </c>
      <c r="J14" s="12">
        <v>4409252</v>
      </c>
    </row>
    <row r="15" spans="1:10" ht="12.75">
      <c r="A15" s="4" t="s">
        <v>21</v>
      </c>
      <c r="B15" s="17"/>
      <c r="C15" s="17"/>
      <c r="D15" s="18">
        <f>D13-25217</f>
        <v>4220252</v>
      </c>
      <c r="E15" s="57">
        <f>E13-96976</f>
        <v>4604564</v>
      </c>
      <c r="F15" s="57">
        <f>F13-210305</f>
        <v>4530698</v>
      </c>
      <c r="G15" s="57">
        <f>G13-327647</f>
        <v>4311421</v>
      </c>
      <c r="H15" s="57">
        <f>H13-182769</f>
        <v>4359788</v>
      </c>
      <c r="I15" s="57">
        <f>I13-52496</f>
        <v>4801813</v>
      </c>
      <c r="J15" s="57">
        <v>4662360</v>
      </c>
    </row>
    <row r="16" spans="1:10" ht="12.75">
      <c r="A16" s="3" t="s">
        <v>15</v>
      </c>
      <c r="B16" s="15"/>
      <c r="C16" s="15"/>
      <c r="D16" s="16">
        <f>D14-9067</f>
        <v>3857199</v>
      </c>
      <c r="E16" s="56">
        <f>E14-4333</f>
        <v>4179273</v>
      </c>
      <c r="F16" s="56">
        <f>F14-121633</f>
        <v>4029927</v>
      </c>
      <c r="G16" s="56">
        <f>G14-168110</f>
        <v>4029340</v>
      </c>
      <c r="H16" s="56">
        <f>H14-17483</f>
        <v>4102150</v>
      </c>
      <c r="I16" s="56">
        <v>4324569</v>
      </c>
      <c r="J16" s="56">
        <v>4409252</v>
      </c>
    </row>
    <row r="17" spans="1:10" ht="13.5" thickBot="1">
      <c r="A17" s="33" t="s">
        <v>3</v>
      </c>
      <c r="B17" s="34">
        <v>9173</v>
      </c>
      <c r="C17" s="34">
        <v>9267</v>
      </c>
      <c r="D17" s="35">
        <v>9221</v>
      </c>
      <c r="E17" s="48">
        <v>9164</v>
      </c>
      <c r="F17" s="48">
        <v>7867</v>
      </c>
      <c r="G17" s="48">
        <v>7029</v>
      </c>
      <c r="H17" s="48">
        <v>6762</v>
      </c>
      <c r="I17" s="48">
        <v>6551</v>
      </c>
      <c r="J17" s="48">
        <v>6202</v>
      </c>
    </row>
    <row r="18" spans="1:4" ht="12.75">
      <c r="A18" s="36"/>
      <c r="B18" s="37"/>
      <c r="C18" s="37"/>
      <c r="D18" s="37"/>
    </row>
    <row r="19" spans="1:7" s="52" customFormat="1" ht="12.75">
      <c r="A19" s="49"/>
      <c r="B19" s="50"/>
      <c r="C19" s="50"/>
      <c r="D19" s="50"/>
      <c r="E19" s="51"/>
      <c r="F19" s="51"/>
      <c r="G19" s="51"/>
    </row>
    <row r="20" spans="1:7" ht="13.5" thickBot="1">
      <c r="A20" s="38"/>
      <c r="B20" s="39"/>
      <c r="C20" s="39"/>
      <c r="E20" s="43"/>
      <c r="F20" s="43"/>
      <c r="G20" s="43"/>
    </row>
    <row r="21" spans="1:10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</row>
    <row r="22" spans="1:10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</row>
    <row r="24" spans="1:10" ht="12.75">
      <c r="A24" s="3" t="s">
        <v>8</v>
      </c>
      <c r="B24" s="21">
        <f>B12/B13</f>
        <v>46.164103871912545</v>
      </c>
      <c r="C24" s="21">
        <f>C12/C13</f>
        <v>52.968253936050885</v>
      </c>
      <c r="D24" s="22">
        <f aca="true" t="shared" si="1" ref="D24:I24">D12/D15</f>
        <v>65.33124112019851</v>
      </c>
      <c r="E24" s="22">
        <f t="shared" si="1"/>
        <v>63.73171922466492</v>
      </c>
      <c r="F24" s="22">
        <f t="shared" si="1"/>
        <v>51.60923769361807</v>
      </c>
      <c r="G24" s="22">
        <f t="shared" si="1"/>
        <v>26.908988706971552</v>
      </c>
      <c r="H24" s="22">
        <f t="shared" si="1"/>
        <v>27.960557485822704</v>
      </c>
      <c r="I24" s="22">
        <f t="shared" si="1"/>
        <v>30.274900334519483</v>
      </c>
      <c r="J24" s="22">
        <f>J12/J15</f>
        <v>29.898088092725573</v>
      </c>
    </row>
    <row r="25" spans="1:10" ht="13.5" thickBot="1">
      <c r="A25" s="5" t="s">
        <v>19</v>
      </c>
      <c r="B25" s="15">
        <f aca="true" t="shared" si="2" ref="B25:H25">B12/B17*1000</f>
        <v>20760102.692685053</v>
      </c>
      <c r="C25" s="15">
        <f t="shared" si="2"/>
        <v>22538680.80284882</v>
      </c>
      <c r="D25" s="12">
        <f t="shared" si="2"/>
        <v>29900694.176336624</v>
      </c>
      <c r="E25" s="12">
        <f t="shared" si="2"/>
        <v>32022782.627673507</v>
      </c>
      <c r="F25" s="12">
        <f t="shared" si="2"/>
        <v>29722368.119994916</v>
      </c>
      <c r="G25" s="12">
        <f t="shared" si="2"/>
        <v>16505332.052923601</v>
      </c>
      <c r="H25" s="12">
        <f t="shared" si="2"/>
        <v>18027521.887015674</v>
      </c>
      <c r="I25" s="12">
        <f>I12/I17*1000</f>
        <v>22191178.44603877</v>
      </c>
      <c r="J25" s="12">
        <f>J12/J17*1000</f>
        <v>22475919.05836827</v>
      </c>
    </row>
    <row r="26" spans="1:10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</row>
    <row r="27" spans="1:10" ht="12.75">
      <c r="A27" s="3" t="s">
        <v>16</v>
      </c>
      <c r="B27" s="21">
        <f>B13/B12</f>
        <v>0.021661852307901644</v>
      </c>
      <c r="C27" s="21">
        <f>C13/C12</f>
        <v>0.018879232855349738</v>
      </c>
      <c r="D27" s="22">
        <f aca="true" t="shared" si="3" ref="D27:I27">D15/D12*100</f>
        <v>1.5306612622897642</v>
      </c>
      <c r="E27" s="22">
        <f t="shared" si="3"/>
        <v>1.5690773953152488</v>
      </c>
      <c r="F27" s="22">
        <f t="shared" si="3"/>
        <v>1.9376376104149637</v>
      </c>
      <c r="G27" s="22">
        <f t="shared" si="3"/>
        <v>3.7162303306512627</v>
      </c>
      <c r="H27" s="22">
        <f t="shared" si="3"/>
        <v>3.576466601236568</v>
      </c>
      <c r="I27" s="22">
        <f t="shared" si="3"/>
        <v>3.303066199890339</v>
      </c>
      <c r="J27" s="22">
        <f>J15/J12*100</f>
        <v>3.3446954765087717</v>
      </c>
    </row>
    <row r="28" spans="1:10" ht="12.75">
      <c r="A28" s="3" t="s">
        <v>17</v>
      </c>
      <c r="B28" s="11">
        <f>B13/B17*1000</f>
        <v>449702.2784258149</v>
      </c>
      <c r="C28" s="11">
        <f>C13/C17*1000</f>
        <v>425513.00312938384</v>
      </c>
      <c r="D28" s="12">
        <f aca="true" t="shared" si="4" ref="D28:I28">D15/D17*1000</f>
        <v>457678.34291291615</v>
      </c>
      <c r="E28" s="12">
        <f t="shared" si="4"/>
        <v>502462.24356176343</v>
      </c>
      <c r="F28" s="12">
        <f t="shared" si="4"/>
        <v>575911.7833990086</v>
      </c>
      <c r="G28" s="12">
        <f t="shared" si="4"/>
        <v>613376.1559254517</v>
      </c>
      <c r="H28" s="12">
        <f t="shared" si="4"/>
        <v>644748.2993197278</v>
      </c>
      <c r="I28" s="12">
        <f t="shared" si="4"/>
        <v>732989.3146084568</v>
      </c>
      <c r="J28" s="12">
        <f>J15/J17*1000</f>
        <v>751751.0480490164</v>
      </c>
    </row>
    <row r="29" spans="1:10" ht="13.5" thickBot="1">
      <c r="A29" s="7" t="s">
        <v>18</v>
      </c>
      <c r="B29" s="31">
        <f>B14/B17*1000</f>
        <v>328838.32988117303</v>
      </c>
      <c r="C29" s="31">
        <f>C14/C17*1000</f>
        <v>334794.0002158196</v>
      </c>
      <c r="D29" s="32">
        <f aca="true" t="shared" si="5" ref="D29:I29">D16/D17*1000</f>
        <v>418305.93211148464</v>
      </c>
      <c r="E29" s="32">
        <f t="shared" si="5"/>
        <v>456053.360977739</v>
      </c>
      <c r="F29" s="32">
        <f t="shared" si="5"/>
        <v>512257.15012075764</v>
      </c>
      <c r="G29" s="32">
        <f t="shared" si="5"/>
        <v>573245.1273296344</v>
      </c>
      <c r="H29" s="32">
        <f t="shared" si="5"/>
        <v>606647.4415853298</v>
      </c>
      <c r="I29" s="32">
        <f t="shared" si="5"/>
        <v>660138.757441612</v>
      </c>
      <c r="J29" s="32">
        <f>J16/J17*1000</f>
        <v>710940.3418252176</v>
      </c>
    </row>
    <row r="30" spans="1:4" ht="12.75">
      <c r="A30" s="8"/>
      <c r="B30" s="8"/>
      <c r="C30" s="8"/>
      <c r="D30" s="8"/>
    </row>
    <row r="31" spans="1:6" ht="12.75">
      <c r="A31" s="53" t="s">
        <v>20</v>
      </c>
      <c r="D31" s="54"/>
      <c r="E31" s="54"/>
      <c r="F31" s="54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31"/>
  <sheetViews>
    <sheetView workbookViewId="0" topLeftCell="A4">
      <selection activeCell="M20" sqref="M20"/>
    </sheetView>
  </sheetViews>
  <sheetFormatPr defaultColWidth="9.125" defaultRowHeight="12.75"/>
  <cols>
    <col min="1" max="1" width="32.375" style="0" customWidth="1"/>
    <col min="2" max="2" width="14.25390625" style="0" hidden="1" customWidth="1"/>
    <col min="3" max="3" width="14.375" style="0" hidden="1" customWidth="1"/>
    <col min="4" max="4" width="9.625" style="0" hidden="1" customWidth="1"/>
    <col min="5" max="5" width="10.00390625" style="0" customWidth="1"/>
    <col min="6" max="7" width="10.25390625" style="0" customWidth="1"/>
    <col min="9" max="9" width="10.875" style="0" customWidth="1"/>
    <col min="10" max="10" width="11.00390625" style="0" customWidth="1"/>
  </cols>
  <sheetData>
    <row r="4" spans="1:8" ht="12.75">
      <c r="A4" s="1" t="s">
        <v>24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0" ht="13.5" thickBot="1">
      <c r="E7" s="9"/>
      <c r="F7" s="9"/>
      <c r="H7" s="9"/>
      <c r="J7" s="9" t="s">
        <v>9</v>
      </c>
    </row>
    <row r="8" spans="1:10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</row>
    <row r="9" spans="1:10" ht="12.75">
      <c r="A9" s="28" t="s">
        <v>0</v>
      </c>
      <c r="B9" s="29"/>
      <c r="C9" s="29"/>
      <c r="D9" s="30"/>
      <c r="E9" s="30"/>
      <c r="F9" s="30"/>
      <c r="G9" s="30"/>
      <c r="H9" s="30"/>
      <c r="I9" s="30"/>
      <c r="J9" s="30"/>
    </row>
    <row r="10" spans="1:10" ht="12.75">
      <c r="A10" s="3" t="s">
        <v>4</v>
      </c>
      <c r="B10" s="11"/>
      <c r="C10" s="11"/>
      <c r="D10" s="12"/>
      <c r="E10" s="12"/>
      <c r="F10" s="12"/>
      <c r="G10" s="12"/>
      <c r="H10" s="12"/>
      <c r="I10" s="12"/>
      <c r="J10" s="12"/>
    </row>
    <row r="11" spans="1:10" ht="12.75">
      <c r="A11" s="3" t="s">
        <v>7</v>
      </c>
      <c r="B11" s="11"/>
      <c r="C11" s="11"/>
      <c r="D11" s="12">
        <f>62821-1</f>
        <v>62820</v>
      </c>
      <c r="E11" s="12">
        <v>385269</v>
      </c>
      <c r="F11" s="12">
        <v>592781</v>
      </c>
      <c r="G11" s="12">
        <v>576848</v>
      </c>
      <c r="H11" s="12">
        <v>991928</v>
      </c>
      <c r="I11" s="12">
        <v>1107956</v>
      </c>
      <c r="J11" s="12">
        <v>1194908</v>
      </c>
    </row>
    <row r="12" spans="1:10" ht="12.75">
      <c r="A12" s="4" t="s">
        <v>5</v>
      </c>
      <c r="B12" s="13"/>
      <c r="C12" s="13"/>
      <c r="D12" s="14">
        <f aca="true" t="shared" si="0" ref="D12:J12">D10+D11</f>
        <v>62820</v>
      </c>
      <c r="E12" s="14">
        <f t="shared" si="0"/>
        <v>385269</v>
      </c>
      <c r="F12" s="14">
        <f t="shared" si="0"/>
        <v>592781</v>
      </c>
      <c r="G12" s="14">
        <f t="shared" si="0"/>
        <v>576848</v>
      </c>
      <c r="H12" s="14">
        <f t="shared" si="0"/>
        <v>991928</v>
      </c>
      <c r="I12" s="14">
        <f t="shared" si="0"/>
        <v>1107956</v>
      </c>
      <c r="J12" s="14">
        <f t="shared" si="0"/>
        <v>1194908</v>
      </c>
    </row>
    <row r="13" spans="1:10" ht="12.75">
      <c r="A13" s="58" t="s">
        <v>6</v>
      </c>
      <c r="B13" s="59"/>
      <c r="C13" s="59"/>
      <c r="D13" s="60">
        <v>106702</v>
      </c>
      <c r="E13" s="60">
        <v>1639374</v>
      </c>
      <c r="F13" s="60">
        <v>1511642</v>
      </c>
      <c r="G13" s="60">
        <v>1783580</v>
      </c>
      <c r="H13" s="60">
        <v>1919410</v>
      </c>
      <c r="I13" s="60">
        <v>1945561</v>
      </c>
      <c r="J13" s="60">
        <v>1812848</v>
      </c>
    </row>
    <row r="14" spans="1:10" ht="12.75">
      <c r="A14" s="3" t="s">
        <v>2</v>
      </c>
      <c r="B14" s="11"/>
      <c r="C14" s="11"/>
      <c r="D14" s="12">
        <v>93267</v>
      </c>
      <c r="E14" s="12">
        <v>1582611</v>
      </c>
      <c r="F14" s="12">
        <v>1381582</v>
      </c>
      <c r="G14" s="12">
        <v>1483152</v>
      </c>
      <c r="H14" s="12">
        <v>1620458</v>
      </c>
      <c r="I14" s="12">
        <v>1740856</v>
      </c>
      <c r="J14" s="12">
        <v>1701220</v>
      </c>
    </row>
    <row r="15" spans="1:11" ht="12.75">
      <c r="A15" s="4" t="s">
        <v>21</v>
      </c>
      <c r="B15" s="15"/>
      <c r="C15" s="15"/>
      <c r="D15" s="18">
        <f>D13-2620</f>
        <v>104082</v>
      </c>
      <c r="E15" s="57">
        <f>E13-17075</f>
        <v>1622299</v>
      </c>
      <c r="F15" s="57">
        <f>F13-178110</f>
        <v>1333532</v>
      </c>
      <c r="G15" s="57">
        <f>G13-305297</f>
        <v>1478283</v>
      </c>
      <c r="H15" s="57">
        <f>H13-342372</f>
        <v>1577038</v>
      </c>
      <c r="I15" s="57">
        <f>I13-285422</f>
        <v>1660139</v>
      </c>
      <c r="J15" s="57">
        <f>J13</f>
        <v>1812848</v>
      </c>
      <c r="K15" s="54"/>
    </row>
    <row r="16" spans="1:11" ht="12.75">
      <c r="A16" s="3" t="s">
        <v>2</v>
      </c>
      <c r="B16" s="15"/>
      <c r="C16" s="15"/>
      <c r="D16" s="16">
        <f>D14-2620</f>
        <v>90647</v>
      </c>
      <c r="E16" s="56">
        <f>E14-15166</f>
        <v>1567445</v>
      </c>
      <c r="F16" s="56">
        <f>F14-154959</f>
        <v>1226623</v>
      </c>
      <c r="G16" s="56">
        <f>G14-187590</f>
        <v>1295562</v>
      </c>
      <c r="H16" s="56">
        <f>H14-213299</f>
        <v>1407159</v>
      </c>
      <c r="I16" s="56">
        <f>I14-229242</f>
        <v>1511614</v>
      </c>
      <c r="J16" s="56">
        <f>J14</f>
        <v>1701220</v>
      </c>
      <c r="K16" s="54"/>
    </row>
    <row r="17" spans="1:10" ht="13.5" thickBot="1">
      <c r="A17" s="10" t="s">
        <v>3</v>
      </c>
      <c r="B17" s="17"/>
      <c r="C17" s="17"/>
      <c r="D17" s="18">
        <v>158</v>
      </c>
      <c r="E17" s="48">
        <v>2728</v>
      </c>
      <c r="F17" s="48">
        <v>2043</v>
      </c>
      <c r="G17" s="48">
        <v>2045</v>
      </c>
      <c r="H17" s="48">
        <v>2052</v>
      </c>
      <c r="I17" s="48">
        <v>2027</v>
      </c>
      <c r="J17" s="48">
        <v>1987</v>
      </c>
    </row>
    <row r="18" spans="1:4" ht="12.75">
      <c r="A18" s="36"/>
      <c r="B18" s="37"/>
      <c r="C18" s="37"/>
      <c r="D18" s="37"/>
    </row>
    <row r="19" spans="1:4" ht="12.75">
      <c r="A19" s="38"/>
      <c r="B19" s="39"/>
      <c r="C19" s="39"/>
      <c r="D19" s="39"/>
    </row>
    <row r="20" spans="1:7" ht="13.5" thickBot="1">
      <c r="A20" s="40"/>
      <c r="B20" s="41"/>
      <c r="C20" s="41"/>
      <c r="E20" s="42"/>
      <c r="F20" s="42"/>
      <c r="G20" s="42"/>
    </row>
    <row r="21" spans="1:10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</row>
    <row r="22" spans="1:10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</row>
    <row r="24" spans="1:10" ht="12.75">
      <c r="A24" s="3" t="s">
        <v>8</v>
      </c>
      <c r="B24" s="21" t="e">
        <f>B12/B13</f>
        <v>#DIV/0!</v>
      </c>
      <c r="C24" s="21" t="e">
        <f>C12/C13</f>
        <v>#DIV/0!</v>
      </c>
      <c r="D24" s="22">
        <f aca="true" t="shared" si="1" ref="D24:I24">D12/D15</f>
        <v>0.6035625756614976</v>
      </c>
      <c r="E24" s="22">
        <f t="shared" si="1"/>
        <v>0.2374833492469637</v>
      </c>
      <c r="F24" s="22">
        <f t="shared" si="1"/>
        <v>0.44451951659202776</v>
      </c>
      <c r="G24" s="22">
        <f t="shared" si="1"/>
        <v>0.3902148641362987</v>
      </c>
      <c r="H24" s="22">
        <f t="shared" si="1"/>
        <v>0.6289816732380576</v>
      </c>
      <c r="I24" s="22">
        <f t="shared" si="1"/>
        <v>0.667387489842718</v>
      </c>
      <c r="J24" s="22">
        <f>J12/J15</f>
        <v>0.659133032664625</v>
      </c>
    </row>
    <row r="25" spans="1:10" ht="13.5" thickBot="1">
      <c r="A25" s="5" t="s">
        <v>19</v>
      </c>
      <c r="B25" s="15" t="e">
        <f aca="true" t="shared" si="2" ref="B25:H25">B12/B17*1000</f>
        <v>#DIV/0!</v>
      </c>
      <c r="C25" s="15" t="e">
        <f t="shared" si="2"/>
        <v>#DIV/0!</v>
      </c>
      <c r="D25" s="16">
        <f t="shared" si="2"/>
        <v>397594.93670886074</v>
      </c>
      <c r="E25" s="16">
        <f t="shared" si="2"/>
        <v>141227.63929618767</v>
      </c>
      <c r="F25" s="16">
        <f t="shared" si="2"/>
        <v>290152.22711698484</v>
      </c>
      <c r="G25" s="16">
        <f t="shared" si="2"/>
        <v>282077.2616136919</v>
      </c>
      <c r="H25" s="16">
        <f t="shared" si="2"/>
        <v>483395.71150097466</v>
      </c>
      <c r="I25" s="16">
        <f>I12/I17*1000</f>
        <v>546598.9146521954</v>
      </c>
      <c r="J25" s="16">
        <f>J12/J17*1000</f>
        <v>601362.8585807751</v>
      </c>
    </row>
    <row r="26" spans="1:10" ht="12.75">
      <c r="A26" s="44" t="s">
        <v>23</v>
      </c>
      <c r="B26" s="2"/>
      <c r="C26" s="2"/>
      <c r="D26" s="6"/>
      <c r="E26" s="6"/>
      <c r="F26" s="6"/>
      <c r="G26" s="6"/>
      <c r="H26" s="6"/>
      <c r="I26" s="6"/>
      <c r="J26" s="6"/>
    </row>
    <row r="27" spans="1:10" ht="12.75">
      <c r="A27" s="3" t="s">
        <v>16</v>
      </c>
      <c r="B27" s="21" t="e">
        <f>B13/B12</f>
        <v>#DIV/0!</v>
      </c>
      <c r="C27" s="21" t="e">
        <f>C13/C12</f>
        <v>#DIV/0!</v>
      </c>
      <c r="D27" s="22">
        <f aca="true" t="shared" si="3" ref="D27:I27">D15/D12*100</f>
        <v>165.6829035339064</v>
      </c>
      <c r="E27" s="22">
        <f t="shared" si="3"/>
        <v>421.0821529892101</v>
      </c>
      <c r="F27" s="22">
        <f t="shared" si="3"/>
        <v>224.96200114376137</v>
      </c>
      <c r="G27" s="22">
        <f t="shared" si="3"/>
        <v>256.26906914819847</v>
      </c>
      <c r="H27" s="22">
        <f t="shared" si="3"/>
        <v>158.98714422821013</v>
      </c>
      <c r="I27" s="22">
        <f t="shared" si="3"/>
        <v>149.83798995627987</v>
      </c>
      <c r="J27" s="22">
        <f>J15/J12*100</f>
        <v>151.71444161391506</v>
      </c>
    </row>
    <row r="28" spans="1:10" ht="12.75">
      <c r="A28" s="3" t="s">
        <v>17</v>
      </c>
      <c r="B28" s="11" t="e">
        <f>B13/B17*1000</f>
        <v>#DIV/0!</v>
      </c>
      <c r="C28" s="11" t="e">
        <f>C13/C17*1000</f>
        <v>#DIV/0!</v>
      </c>
      <c r="D28" s="12">
        <f aca="true" t="shared" si="4" ref="D28:I28">D15/D17*1000</f>
        <v>658746.835443038</v>
      </c>
      <c r="E28" s="12">
        <f t="shared" si="4"/>
        <v>594684.3841642229</v>
      </c>
      <c r="F28" s="12">
        <f t="shared" si="4"/>
        <v>652732.2564855604</v>
      </c>
      <c r="G28" s="12">
        <f t="shared" si="4"/>
        <v>722876.7726161369</v>
      </c>
      <c r="H28" s="12">
        <f t="shared" si="4"/>
        <v>768537.0370370371</v>
      </c>
      <c r="I28" s="12">
        <f t="shared" si="4"/>
        <v>819012.8268376911</v>
      </c>
      <c r="J28" s="12">
        <f>J15/J17*1000</f>
        <v>912354.3029693004</v>
      </c>
    </row>
    <row r="29" spans="1:10" ht="13.5" thickBot="1">
      <c r="A29" s="7" t="s">
        <v>18</v>
      </c>
      <c r="B29" s="31" t="e">
        <f>B14/B17*1000</f>
        <v>#DIV/0!</v>
      </c>
      <c r="C29" s="31" t="e">
        <f>C14/C17*1000</f>
        <v>#DIV/0!</v>
      </c>
      <c r="D29" s="32">
        <f aca="true" t="shared" si="5" ref="D29:I29">D16/D17*1000</f>
        <v>573715.1898734177</v>
      </c>
      <c r="E29" s="32">
        <f t="shared" si="5"/>
        <v>574576.6129032258</v>
      </c>
      <c r="F29" s="32">
        <f t="shared" si="5"/>
        <v>600402.8389623102</v>
      </c>
      <c r="G29" s="32">
        <f t="shared" si="5"/>
        <v>633526.6503667482</v>
      </c>
      <c r="H29" s="32">
        <f t="shared" si="5"/>
        <v>685750</v>
      </c>
      <c r="I29" s="32">
        <f t="shared" si="5"/>
        <v>745739.516526887</v>
      </c>
      <c r="J29" s="32">
        <f>J16/J17*1000</f>
        <v>856175.1383995974</v>
      </c>
    </row>
    <row r="30" spans="1:4" ht="12.75">
      <c r="A30" s="8"/>
      <c r="B30" s="8"/>
      <c r="C30" s="8"/>
      <c r="D30" s="8"/>
    </row>
    <row r="31" ht="12.75">
      <c r="A31" t="s">
        <v>20</v>
      </c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32"/>
  <sheetViews>
    <sheetView tabSelected="1" workbookViewId="0" topLeftCell="A1">
      <selection activeCell="G36" sqref="G36"/>
    </sheetView>
  </sheetViews>
  <sheetFormatPr defaultColWidth="9.125" defaultRowHeight="12.75"/>
  <cols>
    <col min="1" max="1" width="32.00390625" style="0" customWidth="1"/>
    <col min="2" max="2" width="14.25390625" style="0" hidden="1" customWidth="1"/>
    <col min="3" max="3" width="14.375" style="0" hidden="1" customWidth="1"/>
    <col min="4" max="4" width="12.00390625" style="0" hidden="1" customWidth="1"/>
    <col min="5" max="6" width="12.25390625" style="0" customWidth="1"/>
    <col min="7" max="8" width="12.00390625" style="0" customWidth="1"/>
    <col min="9" max="9" width="11.875" style="0" customWidth="1"/>
    <col min="10" max="10" width="11.375" style="0" customWidth="1"/>
  </cols>
  <sheetData>
    <row r="4" spans="1:8" ht="12.75">
      <c r="A4" s="1" t="s">
        <v>11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5:10" ht="13.5" thickBot="1">
      <c r="E7" s="9"/>
      <c r="H7" s="9"/>
      <c r="J7" s="9" t="s">
        <v>9</v>
      </c>
    </row>
    <row r="8" spans="1:10" ht="12.75">
      <c r="A8" s="25"/>
      <c r="B8" s="26">
        <v>1997</v>
      </c>
      <c r="C8" s="26">
        <v>1998</v>
      </c>
      <c r="D8" s="27">
        <v>2002</v>
      </c>
      <c r="E8" s="27">
        <v>2003</v>
      </c>
      <c r="F8" s="27">
        <v>2004</v>
      </c>
      <c r="G8" s="27">
        <v>2005</v>
      </c>
      <c r="H8" s="27">
        <v>2006</v>
      </c>
      <c r="I8" s="27">
        <v>2007</v>
      </c>
      <c r="J8" s="27">
        <v>2008</v>
      </c>
    </row>
    <row r="9" spans="1:10" ht="12.75">
      <c r="A9" s="28" t="s">
        <v>1</v>
      </c>
      <c r="B9" s="29"/>
      <c r="C9" s="29"/>
      <c r="D9" s="30"/>
      <c r="E9" s="30"/>
      <c r="F9" s="30"/>
      <c r="G9" s="30"/>
      <c r="H9" s="30"/>
      <c r="I9" s="30"/>
      <c r="J9" s="30"/>
    </row>
    <row r="10" spans="1:10" ht="12.75">
      <c r="A10" s="3" t="s">
        <v>4</v>
      </c>
      <c r="B10" s="11">
        <f>SUM(MF:ÚFO!B10)</f>
        <v>166015000</v>
      </c>
      <c r="C10" s="11">
        <f>SUM(MF:ÚFO!C10)</f>
        <v>171354000</v>
      </c>
      <c r="D10" s="47">
        <f>SUM(MF:ÚZSVM!D10)</f>
        <v>483625015</v>
      </c>
      <c r="E10" s="47">
        <f>SUM(MF:ÚZSVM!E10)</f>
        <v>518229227</v>
      </c>
      <c r="F10" s="47">
        <f>SUM(MF:ÚZSVM!F10)</f>
        <v>556545788</v>
      </c>
      <c r="G10" s="47">
        <f>SUM(MF:ÚZSVM!G10)</f>
        <v>629751469</v>
      </c>
      <c r="H10" s="47">
        <f>SUM(MF:ÚZSVM!H10)</f>
        <v>634829791</v>
      </c>
      <c r="I10" s="47">
        <f>SUM(MF:ÚZSVM!I10)</f>
        <v>721072641</v>
      </c>
      <c r="J10" s="47">
        <f>SUM(MF:ÚZSVM!J10)</f>
        <v>745310508</v>
      </c>
    </row>
    <row r="11" spans="1:10" ht="12.75">
      <c r="A11" s="3" t="s">
        <v>7</v>
      </c>
      <c r="B11" s="11">
        <f>SUM(MF:ÚFO!B11)</f>
        <v>83709</v>
      </c>
      <c r="C11" s="11">
        <f>SUM(MF:ÚFO!C11)</f>
        <v>41806</v>
      </c>
      <c r="D11" s="12">
        <f>SUM(MF:ÚZSVM!D11)</f>
        <v>1265126</v>
      </c>
      <c r="E11" s="12">
        <f>SUM(MF:ÚZSVM!E11)</f>
        <v>1381819</v>
      </c>
      <c r="F11" s="12">
        <f>SUM(MF:ÚZSVM!F11)</f>
        <v>1719061</v>
      </c>
      <c r="G11" s="12">
        <f>SUM(MF:ÚZSVM!G11)</f>
        <v>1972300</v>
      </c>
      <c r="H11" s="12">
        <f>SUM(MF:ÚZSVM!H11)</f>
        <v>2548927</v>
      </c>
      <c r="I11" s="12">
        <f>SUM(MF:ÚZSVM!I11)</f>
        <v>2565828</v>
      </c>
      <c r="J11" s="12">
        <f>SUM(MF:ÚZSVM!J11)</f>
        <v>4451686</v>
      </c>
    </row>
    <row r="12" spans="1:10" ht="12.75">
      <c r="A12" s="4" t="s">
        <v>5</v>
      </c>
      <c r="B12" s="13">
        <f>SUM(B10:B11)</f>
        <v>166098709</v>
      </c>
      <c r="C12" s="13">
        <f>SUM(C10:C11)</f>
        <v>171395806</v>
      </c>
      <c r="D12" s="14">
        <f>SUM(MF:ÚZSVM!D12)</f>
        <v>484890141</v>
      </c>
      <c r="E12" s="14">
        <f>SUM(MF:ÚZSVM!E12)</f>
        <v>519611046</v>
      </c>
      <c r="F12" s="14">
        <f>SUM(MF:ÚZSVM!F12)</f>
        <v>558264849</v>
      </c>
      <c r="G12" s="14">
        <f>SUM(MF:ÚZSVM!G12)</f>
        <v>631723769</v>
      </c>
      <c r="H12" s="14">
        <f>SUM(MF:ÚZSVM!H12)</f>
        <v>637378718</v>
      </c>
      <c r="I12" s="14">
        <f>SUM(MF:ÚZSVM!I12)</f>
        <v>723638469</v>
      </c>
      <c r="J12" s="14">
        <f>SUM(MF:ÚZSVM!J12)</f>
        <v>749762194</v>
      </c>
    </row>
    <row r="13" spans="1:10" ht="12.75">
      <c r="A13" s="58" t="s">
        <v>6</v>
      </c>
      <c r="B13" s="59">
        <f>SUM(MF:ÚFO!B13)</f>
        <v>6143754</v>
      </c>
      <c r="C13" s="59">
        <f>SUM(MF:ÚFO!C13)</f>
        <v>5946520</v>
      </c>
      <c r="D13" s="60">
        <f>SUM(MF:ÚZSVM!D13)</f>
        <v>12539294</v>
      </c>
      <c r="E13" s="60">
        <f>SUM(MF:ÚZSVM!E13)</f>
        <v>15041871</v>
      </c>
      <c r="F13" s="60">
        <f>SUM(MF:ÚZSVM!F13)</f>
        <v>15372046</v>
      </c>
      <c r="G13" s="60">
        <f>SUM(MF:ÚZSVM!G13)</f>
        <v>16084506</v>
      </c>
      <c r="H13" s="60">
        <f>SUM(MF:ÚZSVM!H13)</f>
        <v>16443648</v>
      </c>
      <c r="I13" s="60">
        <f>SUM(MF:ÚZSVM!I13)+1</f>
        <v>17314427</v>
      </c>
      <c r="J13" s="60">
        <f>SUM(MF:ÚZSVM!J13)</f>
        <v>17315365</v>
      </c>
    </row>
    <row r="14" spans="1:10" ht="12.75">
      <c r="A14" s="3" t="s">
        <v>15</v>
      </c>
      <c r="B14" s="11">
        <f>SUM(MF:ÚFO!B14)</f>
        <v>4878170</v>
      </c>
      <c r="C14" s="11">
        <f>SUM(MF:ÚFO!C14)</f>
        <v>4841936</v>
      </c>
      <c r="D14" s="12">
        <f>SUM(MF:ÚZSVM!D14)</f>
        <v>11187119</v>
      </c>
      <c r="E14" s="12">
        <f>SUM(MF:ÚZSVM!E14)</f>
        <v>13457043</v>
      </c>
      <c r="F14" s="12">
        <f>SUM(MF:ÚZSVM!F14)</f>
        <v>13655337</v>
      </c>
      <c r="G14" s="12">
        <f>SUM(MF:ÚZSVM!G14)</f>
        <v>14296148</v>
      </c>
      <c r="H14" s="12">
        <f>SUM(MF:ÚZSVM!H14)</f>
        <v>14743409</v>
      </c>
      <c r="I14" s="12">
        <f>SUM(MF:ÚZSVM!I14)+1</f>
        <v>15522445</v>
      </c>
      <c r="J14" s="12">
        <f>SUM(MF:ÚZSVM!J14)+1</f>
        <v>15904443</v>
      </c>
    </row>
    <row r="15" spans="1:10" ht="12.75">
      <c r="A15" s="4" t="s">
        <v>21</v>
      </c>
      <c r="B15" s="15"/>
      <c r="C15" s="15"/>
      <c r="D15" s="18">
        <f>SUM(MF:ÚZSVM!D15)</f>
        <v>12447183</v>
      </c>
      <c r="E15" s="57">
        <f>SUM(MF:ÚZSVM!E15)</f>
        <v>14828119</v>
      </c>
      <c r="F15" s="57">
        <f>SUM(MF:ÚZSVM!F15)</f>
        <v>14580075</v>
      </c>
      <c r="G15" s="57">
        <f>SUM(MF:ÚZSVM!G15)</f>
        <v>14808860</v>
      </c>
      <c r="H15" s="57">
        <f>SUM(MF:ÚZSVM!H15)</f>
        <v>15450193</v>
      </c>
      <c r="I15" s="57">
        <f>I13-948157</f>
        <v>16366270</v>
      </c>
      <c r="J15" s="57">
        <f>J13</f>
        <v>17315365</v>
      </c>
    </row>
    <row r="16" spans="1:10" ht="12.75">
      <c r="A16" s="3" t="s">
        <v>15</v>
      </c>
      <c r="B16" s="15"/>
      <c r="C16" s="15"/>
      <c r="D16" s="16">
        <f>SUM(MF:ÚZSVM!D16)</f>
        <v>11131774</v>
      </c>
      <c r="E16" s="56">
        <f>SUM(MF:ÚZSVM!E16)</f>
        <v>13375477</v>
      </c>
      <c r="F16" s="56">
        <f>SUM(MF:ÚZSVM!F16)</f>
        <v>13135030</v>
      </c>
      <c r="G16" s="56">
        <f>SUM(MF:ÚZSVM!G16)</f>
        <v>13683704</v>
      </c>
      <c r="H16" s="56">
        <f>SUM(MF:ÚZSVM!H16)</f>
        <v>14296439</v>
      </c>
      <c r="I16" s="56">
        <f>SUM(MF:ÚZSVM!I16)+1</f>
        <v>14982857</v>
      </c>
      <c r="J16" s="56">
        <f>SUM(MF:ÚZSVM!J16)+1</f>
        <v>15904443</v>
      </c>
    </row>
    <row r="17" spans="1:10" ht="13.5" thickBot="1">
      <c r="A17" s="33" t="s">
        <v>3</v>
      </c>
      <c r="B17" s="34">
        <f>SUM(MF:ÚFO!B17)</f>
        <v>15280</v>
      </c>
      <c r="C17" s="34">
        <f>SUM(MF:ÚFO!C17)</f>
        <v>15264</v>
      </c>
      <c r="D17" s="35">
        <f>SUM(MF:ÚZSVM!D17)</f>
        <v>26428</v>
      </c>
      <c r="E17" s="48">
        <f>SUM(MF:ÚZSVM!E17)</f>
        <v>29002</v>
      </c>
      <c r="F17" s="48">
        <f>SUM(MF:ÚZSVM!F17)</f>
        <v>26959</v>
      </c>
      <c r="G17" s="48">
        <f>SUM(MF:ÚZSVM!G17)</f>
        <v>25959</v>
      </c>
      <c r="H17" s="48">
        <f>SUM(MF:ÚZSVM!H17)</f>
        <v>25719</v>
      </c>
      <c r="I17" s="48">
        <f>SUM(MF:ÚZSVM!I17)</f>
        <v>25513</v>
      </c>
      <c r="J17" s="48">
        <f>SUM(MF:ÚZSVM!J17)</f>
        <v>24942</v>
      </c>
    </row>
    <row r="18" spans="1:4" ht="12.75">
      <c r="A18" s="36"/>
      <c r="B18" s="37"/>
      <c r="C18" s="37"/>
      <c r="D18" s="39"/>
    </row>
    <row r="19" spans="1:7" ht="12.75">
      <c r="A19" s="49"/>
      <c r="B19" s="50"/>
      <c r="C19" s="50"/>
      <c r="D19" s="50"/>
      <c r="E19" s="51"/>
      <c r="F19" s="51"/>
      <c r="G19" s="51"/>
    </row>
    <row r="20" spans="1:7" ht="13.5" thickBot="1">
      <c r="A20" s="40"/>
      <c r="B20" s="41"/>
      <c r="C20" s="41"/>
      <c r="E20" s="42"/>
      <c r="F20" s="42"/>
      <c r="G20" s="42"/>
    </row>
    <row r="21" spans="1:10" ht="12.75">
      <c r="A21" s="25"/>
      <c r="B21" s="26">
        <v>1997</v>
      </c>
      <c r="C21" s="26">
        <v>1998</v>
      </c>
      <c r="D21" s="27">
        <v>2002</v>
      </c>
      <c r="E21" s="27">
        <v>2003</v>
      </c>
      <c r="F21" s="27">
        <v>2004</v>
      </c>
      <c r="G21" s="27">
        <v>2005</v>
      </c>
      <c r="H21" s="27">
        <v>2006</v>
      </c>
      <c r="I21" s="27">
        <v>2007</v>
      </c>
      <c r="J21" s="27">
        <v>2008</v>
      </c>
    </row>
    <row r="22" spans="1:10" ht="13.5" thickBot="1">
      <c r="A22" s="28" t="s">
        <v>10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0" ht="12.75">
      <c r="A23" s="44" t="s">
        <v>22</v>
      </c>
      <c r="B23" s="2"/>
      <c r="C23" s="2"/>
      <c r="D23" s="6"/>
      <c r="E23" s="6"/>
      <c r="F23" s="6"/>
      <c r="G23" s="6"/>
      <c r="H23" s="6"/>
      <c r="I23" s="6"/>
      <c r="J23" s="6"/>
    </row>
    <row r="24" spans="1:10" ht="12.75">
      <c r="A24" s="3" t="s">
        <v>8</v>
      </c>
      <c r="B24" s="21">
        <f>B12/B13</f>
        <v>27.035377555807084</v>
      </c>
      <c r="C24" s="21">
        <f>C12/C13</f>
        <v>28.82287556419553</v>
      </c>
      <c r="D24" s="22">
        <f aca="true" t="shared" si="0" ref="D24:I24">D12/D15</f>
        <v>38.95581361662313</v>
      </c>
      <c r="E24" s="22">
        <f t="shared" si="0"/>
        <v>35.042276501827374</v>
      </c>
      <c r="F24" s="22">
        <f t="shared" si="0"/>
        <v>38.289573201783945</v>
      </c>
      <c r="G24" s="22">
        <f t="shared" si="0"/>
        <v>42.658500991973725</v>
      </c>
      <c r="H24" s="22">
        <f t="shared" si="0"/>
        <v>41.253770616328225</v>
      </c>
      <c r="I24" s="22">
        <f t="shared" si="0"/>
        <v>44.21523468695066</v>
      </c>
      <c r="J24" s="22">
        <f>J12/J15</f>
        <v>43.300397883613776</v>
      </c>
    </row>
    <row r="25" spans="1:10" ht="13.5" thickBot="1">
      <c r="A25" s="5" t="s">
        <v>19</v>
      </c>
      <c r="B25" s="15">
        <f aca="true" t="shared" si="1" ref="B25:H25">B12/B17*1000</f>
        <v>10870334.358638743</v>
      </c>
      <c r="C25" s="15">
        <f t="shared" si="1"/>
        <v>11228760.875262054</v>
      </c>
      <c r="D25" s="16">
        <f t="shared" si="1"/>
        <v>18347591.228999548</v>
      </c>
      <c r="E25" s="16">
        <f t="shared" si="1"/>
        <v>17916386.66298876</v>
      </c>
      <c r="F25" s="16">
        <f t="shared" si="1"/>
        <v>20707921.250788234</v>
      </c>
      <c r="G25" s="16">
        <f t="shared" si="1"/>
        <v>24335443.16036827</v>
      </c>
      <c r="H25" s="16">
        <f t="shared" si="1"/>
        <v>24782406.70321552</v>
      </c>
      <c r="I25" s="16">
        <f>I12/I17*1000</f>
        <v>28363519.34308</v>
      </c>
      <c r="J25" s="16">
        <f>J12/J17*1000</f>
        <v>30060227.48777163</v>
      </c>
    </row>
    <row r="26" spans="1:10" ht="12.75">
      <c r="A26" s="44" t="s">
        <v>23</v>
      </c>
      <c r="B26" s="23"/>
      <c r="C26" s="23"/>
      <c r="D26" s="24"/>
      <c r="E26" s="24"/>
      <c r="F26" s="24"/>
      <c r="G26" s="24"/>
      <c r="H26" s="24"/>
      <c r="I26" s="24"/>
      <c r="J26" s="24"/>
    </row>
    <row r="27" spans="1:10" ht="12.75">
      <c r="A27" s="3" t="s">
        <v>16</v>
      </c>
      <c r="B27" s="21">
        <f>B13/B12</f>
        <v>0.03698857165711023</v>
      </c>
      <c r="C27" s="21">
        <f>C13/C12</f>
        <v>0.03469466458239941</v>
      </c>
      <c r="D27" s="22">
        <f aca="true" t="shared" si="2" ref="D27:I27">D15/D12*100</f>
        <v>2.567010946918799</v>
      </c>
      <c r="E27" s="22">
        <f t="shared" si="2"/>
        <v>2.853695877743138</v>
      </c>
      <c r="F27" s="22">
        <f t="shared" si="2"/>
        <v>2.6116770608281663</v>
      </c>
      <c r="G27" s="22">
        <f t="shared" si="2"/>
        <v>2.3441986397697185</v>
      </c>
      <c r="H27" s="22">
        <f t="shared" si="2"/>
        <v>2.4240208472100258</v>
      </c>
      <c r="I27" s="22">
        <f t="shared" si="2"/>
        <v>2.2616638972519856</v>
      </c>
      <c r="J27" s="22">
        <f>J15/J12*100</f>
        <v>2.309447600661497</v>
      </c>
    </row>
    <row r="28" spans="1:10" ht="12.75">
      <c r="A28" s="3" t="s">
        <v>17</v>
      </c>
      <c r="B28" s="11">
        <f>B13/B17*1000</f>
        <v>402078.14136125654</v>
      </c>
      <c r="C28" s="11">
        <f>C13/C17*1000</f>
        <v>389578.09224318655</v>
      </c>
      <c r="D28" s="12">
        <f aca="true" t="shared" si="3" ref="D28:I28">D15/D17*1000</f>
        <v>470984.6753443318</v>
      </c>
      <c r="E28" s="12">
        <f t="shared" si="3"/>
        <v>511279.1876422316</v>
      </c>
      <c r="F28" s="12">
        <f t="shared" si="3"/>
        <v>540824.0290811975</v>
      </c>
      <c r="G28" s="12">
        <f t="shared" si="3"/>
        <v>570471.1275472861</v>
      </c>
      <c r="H28" s="12">
        <f t="shared" si="3"/>
        <v>600730.7049263191</v>
      </c>
      <c r="I28" s="12">
        <f t="shared" si="3"/>
        <v>641487.4769725238</v>
      </c>
      <c r="J28" s="12">
        <f>J15/J17*1000</f>
        <v>694225.2024697298</v>
      </c>
    </row>
    <row r="29" spans="1:10" ht="13.5" thickBot="1">
      <c r="A29" s="7" t="s">
        <v>18</v>
      </c>
      <c r="B29" s="31">
        <f>B14/B17*1000</f>
        <v>319251.9633507853</v>
      </c>
      <c r="C29" s="31">
        <f>C14/C17*1000</f>
        <v>317212.7882599581</v>
      </c>
      <c r="D29" s="32">
        <f aca="true" t="shared" si="4" ref="D29:I29">D16/D17*1000</f>
        <v>421211.3667322537</v>
      </c>
      <c r="E29" s="32">
        <f t="shared" si="4"/>
        <v>461191.5385145852</v>
      </c>
      <c r="F29" s="32">
        <f t="shared" si="4"/>
        <v>487222.44890389114</v>
      </c>
      <c r="G29" s="32">
        <f t="shared" si="4"/>
        <v>527127.547286105</v>
      </c>
      <c r="H29" s="32">
        <f t="shared" si="4"/>
        <v>555870.7181461176</v>
      </c>
      <c r="I29" s="32">
        <f t="shared" si="4"/>
        <v>587263.6303061184</v>
      </c>
      <c r="J29" s="32">
        <f>J16/J17*1000</f>
        <v>637657.0844358914</v>
      </c>
    </row>
    <row r="30" spans="1:4" ht="12.75">
      <c r="A30" s="8"/>
      <c r="B30" s="8"/>
      <c r="C30" s="8"/>
      <c r="D30" s="45"/>
    </row>
    <row r="31" spans="1:6" ht="12.75">
      <c r="A31" s="53" t="s">
        <v>20</v>
      </c>
      <c r="D31" s="55"/>
      <c r="E31" s="55"/>
      <c r="F31" s="55"/>
    </row>
    <row r="32" spans="5:8" ht="12.75">
      <c r="E32" s="61"/>
      <c r="F32" s="61"/>
      <c r="G32" s="61"/>
      <c r="H32" s="61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2002-03-06T07:52:40Z</dcterms:created>
  <cp:category/>
  <cp:version/>
  <cp:contentType/>
  <cp:contentStatus/>
</cp:coreProperties>
</file>