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6"/>
  </bookViews>
  <sheets>
    <sheet name="MF" sheetId="1" r:id="rId1"/>
    <sheet name="R" sheetId="2" r:id="rId2"/>
    <sheet name="MFC" sheetId="3" r:id="rId3"/>
    <sheet name="ÚFO" sheetId="4" r:id="rId4"/>
    <sheet name="GŘC" sheetId="5" r:id="rId5"/>
    <sheet name="ÚZSVM" sheetId="6" r:id="rId6"/>
    <sheet name="KAPITOLA" sheetId="7" r:id="rId7"/>
  </sheets>
  <definedNames/>
  <calcPr fullCalcOnLoad="1"/>
</workbook>
</file>

<file path=xl/sharedStrings.xml><?xml version="1.0" encoding="utf-8"?>
<sst xmlns="http://schemas.openxmlformats.org/spreadsheetml/2006/main" count="481" uniqueCount="79">
  <si>
    <t>Ministerstvo financí bez rezervy ÚFO</t>
  </si>
  <si>
    <t>Ukazatel</t>
  </si>
  <si>
    <t>skutečnost</t>
  </si>
  <si>
    <t>%plnění</t>
  </si>
  <si>
    <t>skut.</t>
  </si>
  <si>
    <t>schválený</t>
  </si>
  <si>
    <t>uprav.r.</t>
  </si>
  <si>
    <t>v %</t>
  </si>
  <si>
    <t>sloupec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</si>
  <si>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</si>
  <si>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</si>
  <si>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</si>
  <si>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</si>
  <si>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</si>
  <si>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</si>
  <si>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</si>
  <si>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</si>
  <si>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</si>
  <si>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</si>
  <si>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</si>
  <si>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</si>
  <si>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</si>
  <si>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</si>
  <si>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</si>
  <si>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</si>
  <si>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</si>
  <si>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</si>
  <si>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</si>
  <si>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</si>
  <si>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</si>
  <si>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</si>
  <si>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</si>
  <si>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</si>
  <si>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</si>
  <si>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</si>
  <si>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</si>
  <si>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</si>
  <si>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</si>
  <si>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</si>
  <si>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</si>
  <si>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</si>
  <si>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</si>
  <si>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</si>
  <si>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</si>
  <si>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</si>
  <si>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</si>
  <si>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</si>
  <si>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</si>
  <si>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</si>
  <si>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</si>
  <si>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>Ministerstvo financí - rezerva ÚFO § 6142</t>
  </si>
  <si>
    <t>Územní finanční orgány</t>
  </si>
  <si>
    <t xml:space="preserve">                 ostatní platby celkem</t>
  </si>
  <si>
    <t xml:space="preserve">   - sociální dávky</t>
  </si>
  <si>
    <t>Generální ředitelství cel</t>
  </si>
  <si>
    <t>Úřad pro zastupování státu ve věcech majetkových</t>
  </si>
  <si>
    <t xml:space="preserve"> </t>
  </si>
  <si>
    <t>Kapitola 312 - MF ČR   c e l k e m</t>
  </si>
  <si>
    <r>
      <t xml:space="preserve">Ministerstvo financí  </t>
    </r>
    <r>
      <rPr>
        <u val="single"/>
        <sz val="10"/>
        <rFont val="Times New Roman CE"/>
        <family val="1"/>
      </rPr>
      <t>(MF + rezerva ÚFO)</t>
    </r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</si>
  <si>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</si>
  <si>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</si>
  <si>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</si>
  <si>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>2008/2007</t>
  </si>
  <si>
    <t xml:space="preserve"> - neinvestiční přijaté transfery ze zahraničí</t>
  </si>
  <si>
    <t xml:space="preserve"> - neinvestiční převody z Národního fondu</t>
  </si>
  <si>
    <t xml:space="preserve">rozpočet k 31. 12. </t>
  </si>
  <si>
    <t>k 31.12.</t>
  </si>
  <si>
    <t>k 31. 12.</t>
  </si>
  <si>
    <t>Plnění vybraných ukazatelů státního rozpočtu k  31. 12. 2008 dle finančních výkazů Fin RO 2- 04 U (v tis. Kč)</t>
  </si>
  <si>
    <t>platy včetně prosince v tis. Kč</t>
  </si>
  <si>
    <t xml:space="preserve"> 5:3</t>
  </si>
  <si>
    <t xml:space="preserve"> 5:1</t>
  </si>
  <si>
    <t>KS-skut.</t>
  </si>
  <si>
    <t>nároky BV</t>
  </si>
  <si>
    <t>nároky KV</t>
  </si>
  <si>
    <t>CELKEM</t>
  </si>
  <si>
    <t>*) viz příloha 5 bod 4. a 5. vyhlášky č. 16/2001 Sb. ve znenění pozdějších předpisů</t>
  </si>
  <si>
    <t>skutečnost roku 2007 je bez převodů do RF</t>
  </si>
  <si>
    <t xml:space="preserve">uprav.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</si>
</sst>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10"/>
      <color indexed="12"/>
      <name val="Times New Roman CE"/>
      <family val="1"/>
    </font>
    <font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"/>
    </xf>
    <xf numFmtId="169" fontId="4" fillId="0" borderId="7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169" fontId="4" fillId="0" borderId="25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9" fontId="5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169" fontId="5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169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0" borderId="32" xfId="0" applyNumberFormat="1" applyFont="1" applyBorder="1" applyAlignment="1">
      <alignment/>
    </xf>
    <xf numFmtId="169" fontId="5" fillId="0" borderId="32" xfId="0" applyNumberFormat="1" applyFont="1" applyBorder="1" applyAlignment="1">
      <alignment/>
    </xf>
    <xf numFmtId="169" fontId="5" fillId="0" borderId="32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3" fontId="4" fillId="0" borderId="7" xfId="0" applyNumberFormat="1" applyFont="1" applyBorder="1" applyAlignment="1" applyProtection="1">
      <alignment/>
      <protection locked="0"/>
    </xf>
    <xf numFmtId="3" fontId="4" fillId="0" borderId="33" xfId="0" applyNumberFormat="1" applyFont="1" applyBorder="1" applyAlignment="1">
      <alignment/>
    </xf>
    <xf numFmtId="169" fontId="5" fillId="0" borderId="3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35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49" fontId="5" fillId="0" borderId="0" xfId="0" applyNumberFormat="1" applyFont="1" applyAlignment="1">
      <alignment horizontal="right"/>
    </xf>
    <xf numFmtId="3" fontId="5" fillId="0" borderId="18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0" xfId="0" applyFont="1" applyAlignment="1">
      <alignment/>
    </xf>
    <xf numFmtId="3" fontId="11" fillId="0" borderId="3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11" fillId="0" borderId="0" xfId="0" applyFont="1" applyAlignment="1">
      <alignment/>
    </xf>
    <xf numFmtId="169" fontId="5" fillId="0" borderId="9" xfId="0" applyNumberFormat="1" applyFont="1" applyBorder="1" applyAlignment="1">
      <alignment/>
    </xf>
    <xf numFmtId="169" fontId="5" fillId="0" borderId="4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5" fillId="0" borderId="4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2" fillId="0" borderId="10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8" sqref="J8"/>
    </sheetView>
  </sheetViews>
  <sheetFormatPr defaultColWidth="9.125" defaultRowHeight="12.75"/>
  <cols>
    <col min="1" max="1" width="33.125" style="2" customWidth="1"/>
    <col min="2" max="2" width="10.375" style="69" customWidth="1"/>
    <col min="3" max="3" width="9.625" style="2" customWidth="1"/>
    <col min="4" max="4" width="9.75390625" style="2" customWidth="1"/>
    <col min="5" max="5" width="10.875" style="2" customWidth="1"/>
    <col min="6" max="6" width="8.00390625" style="2" customWidth="1"/>
    <col min="7" max="16384" width="9.125" style="2" customWidth="1"/>
  </cols>
  <sheetData>
    <row r="1" spans="1:2" ht="12.75">
      <c r="A1" s="1" t="s">
        <v>0</v>
      </c>
      <c r="B1" s="68"/>
    </row>
    <row r="2" ht="12.75">
      <c r="A2" s="2" t="s">
        <v>68</v>
      </c>
    </row>
    <row r="3" spans="1:7" ht="13.5" thickBot="1">
      <c r="A3" s="2" t="s">
        <v>77</v>
      </c>
      <c r="E3" s="3"/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22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7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42" t="s">
        <v>70</v>
      </c>
      <c r="G7" s="23" t="s">
        <v>71</v>
      </c>
    </row>
    <row r="8" spans="1:9" ht="12.75">
      <c r="A8" s="9" t="s">
        <v>9</v>
      </c>
      <c r="B8" s="10">
        <f>B10+B12+B14+B15+B16+B17+B18+B20+B22+B23+B25</f>
        <v>618340</v>
      </c>
      <c r="C8" s="10">
        <f>SUM(C10:C25)</f>
        <v>903201</v>
      </c>
      <c r="D8" s="10">
        <f>SUM(D10:D25)</f>
        <v>920223</v>
      </c>
      <c r="E8" s="10">
        <f>SUM(E10:E25)</f>
        <v>2456412</v>
      </c>
      <c r="F8" s="43">
        <f>E8/D8*100</f>
        <v>266.93660123687414</v>
      </c>
      <c r="G8" s="93">
        <f>E8/B8*100</f>
        <v>397.2591131092926</v>
      </c>
      <c r="I8" s="69"/>
    </row>
    <row r="9" spans="1:7" ht="12.75">
      <c r="A9" s="11" t="s">
        <v>10</v>
      </c>
      <c r="B9" s="13"/>
      <c r="C9" s="13"/>
      <c r="D9" s="13">
        <f>D12+D14+D15+D17+D18+D20+D23+D24</f>
        <v>920223</v>
      </c>
      <c r="E9" s="13">
        <f>E12+E14+E15+E16+E17+E18+E19+E20+E23+E25</f>
        <v>2456412</v>
      </c>
      <c r="F9" s="44"/>
      <c r="G9" s="89"/>
    </row>
    <row r="10" spans="1:7" ht="12.75">
      <c r="A10" s="11" t="s">
        <v>11</v>
      </c>
      <c r="B10" s="13"/>
      <c r="C10" s="13"/>
      <c r="D10" s="13"/>
      <c r="E10" s="13"/>
      <c r="F10" s="44"/>
      <c r="G10" s="89"/>
    </row>
    <row r="11" spans="1:7" ht="12.75">
      <c r="A11" s="11" t="s">
        <v>12</v>
      </c>
      <c r="B11" s="13"/>
      <c r="C11" s="13"/>
      <c r="D11" s="13"/>
      <c r="E11" s="13"/>
      <c r="F11" s="44"/>
      <c r="G11" s="89"/>
    </row>
    <row r="12" spans="1:7" ht="12.75">
      <c r="A12" s="11" t="s">
        <v>13</v>
      </c>
      <c r="B12" s="13">
        <v>6582</v>
      </c>
      <c r="C12" s="13">
        <v>690338</v>
      </c>
      <c r="D12" s="13">
        <v>689555</v>
      </c>
      <c r="E12" s="13">
        <f>7966</f>
        <v>7966</v>
      </c>
      <c r="F12" s="44">
        <f>E12/D12*100</f>
        <v>1.1552377982902016</v>
      </c>
      <c r="G12" s="89">
        <f>E12/B12*100</f>
        <v>121.02704345183835</v>
      </c>
    </row>
    <row r="13" spans="1:7" ht="12.75">
      <c r="A13" s="101" t="s">
        <v>59</v>
      </c>
      <c r="B13" s="13"/>
      <c r="C13" s="13"/>
      <c r="D13" s="13"/>
      <c r="E13" s="13"/>
      <c r="F13" s="44"/>
      <c r="G13" s="89"/>
    </row>
    <row r="14" spans="1:7" ht="12.75">
      <c r="A14" s="11" t="s">
        <v>14</v>
      </c>
      <c r="B14" s="13">
        <v>13478</v>
      </c>
      <c r="C14" s="13">
        <v>22084</v>
      </c>
      <c r="D14" s="13">
        <v>22867</v>
      </c>
      <c r="E14" s="13">
        <f>19963+1</f>
        <v>19964</v>
      </c>
      <c r="F14" s="44">
        <f>E14/D14*100</f>
        <v>87.30484978353084</v>
      </c>
      <c r="G14" s="89">
        <f>E14/B14*100</f>
        <v>148.12286689419795</v>
      </c>
    </row>
    <row r="15" spans="1:7" ht="12.75">
      <c r="A15" s="11" t="s">
        <v>15</v>
      </c>
      <c r="B15" s="13">
        <v>1626</v>
      </c>
      <c r="C15" s="13">
        <v>1400</v>
      </c>
      <c r="D15" s="13">
        <v>1400</v>
      </c>
      <c r="E15" s="13">
        <v>135814</v>
      </c>
      <c r="F15" s="44">
        <f>E15/D15*100</f>
        <v>9701</v>
      </c>
      <c r="G15" s="89">
        <f>E15/B15*100</f>
        <v>8352.644526445265</v>
      </c>
    </row>
    <row r="16" spans="1:7" ht="12.75">
      <c r="A16" s="11" t="s">
        <v>16</v>
      </c>
      <c r="B16" s="25">
        <v>361</v>
      </c>
      <c r="C16" s="13"/>
      <c r="D16" s="13"/>
      <c r="E16" s="13">
        <f>15829+1</f>
        <v>15830</v>
      </c>
      <c r="F16" s="44"/>
      <c r="G16" s="89">
        <f>E16/B16*100</f>
        <v>4385.041551246538</v>
      </c>
    </row>
    <row r="17" spans="1:7" ht="12.75">
      <c r="A17" s="11" t="s">
        <v>17</v>
      </c>
      <c r="B17" s="25"/>
      <c r="C17" s="13">
        <v>5</v>
      </c>
      <c r="D17" s="13">
        <v>5</v>
      </c>
      <c r="E17" s="13">
        <f>3+1</f>
        <v>4</v>
      </c>
      <c r="F17" s="44">
        <f>E17/D17*100</f>
        <v>80</v>
      </c>
      <c r="G17" s="89"/>
    </row>
    <row r="18" spans="1:7" ht="12.75">
      <c r="A18" s="11" t="s">
        <v>18</v>
      </c>
      <c r="B18" s="13">
        <v>14516</v>
      </c>
      <c r="C18" s="13">
        <v>1366</v>
      </c>
      <c r="D18" s="13">
        <v>1366</v>
      </c>
      <c r="E18" s="13">
        <v>210109</v>
      </c>
      <c r="F18" s="44">
        <f>E18/D18*100</f>
        <v>15381.332357247438</v>
      </c>
      <c r="G18" s="89">
        <f>E18/B18*100</f>
        <v>1447.4304216037476</v>
      </c>
    </row>
    <row r="19" spans="1:7" ht="12.75">
      <c r="A19" s="102" t="s">
        <v>60</v>
      </c>
      <c r="B19" s="25"/>
      <c r="C19" s="13"/>
      <c r="D19" s="13"/>
      <c r="E19" s="13">
        <v>1300778</v>
      </c>
      <c r="F19" s="44"/>
      <c r="G19" s="89"/>
    </row>
    <row r="20" spans="1:7" ht="12.75">
      <c r="A20" s="11" t="s">
        <v>19</v>
      </c>
      <c r="B20" s="13">
        <v>10608</v>
      </c>
      <c r="C20" s="13">
        <v>80000</v>
      </c>
      <c r="D20" s="13">
        <v>80000</v>
      </c>
      <c r="E20" s="13">
        <f>119181+1</f>
        <v>119182</v>
      </c>
      <c r="F20" s="44">
        <f>E20/D20*100</f>
        <v>148.97750000000002</v>
      </c>
      <c r="G20" s="89">
        <f>E20/B20*100</f>
        <v>1123.5105580693817</v>
      </c>
    </row>
    <row r="21" spans="1:7" ht="12.75">
      <c r="A21" s="102" t="s">
        <v>61</v>
      </c>
      <c r="B21" s="13"/>
      <c r="C21" s="13"/>
      <c r="D21" s="13"/>
      <c r="E21" s="13"/>
      <c r="F21" s="44"/>
      <c r="G21" s="89"/>
    </row>
    <row r="22" spans="1:7" ht="12.75" customHeight="1">
      <c r="A22" s="11" t="s">
        <v>20</v>
      </c>
      <c r="B22" s="13"/>
      <c r="C22" s="13"/>
      <c r="D22" s="13"/>
      <c r="E22" s="13"/>
      <c r="F22" s="44"/>
      <c r="G22" s="89"/>
    </row>
    <row r="23" spans="1:7" ht="12.75" customHeight="1">
      <c r="A23" s="11" t="s">
        <v>63</v>
      </c>
      <c r="B23" s="13">
        <v>276</v>
      </c>
      <c r="C23" s="13">
        <v>108008</v>
      </c>
      <c r="D23" s="13">
        <v>125030</v>
      </c>
      <c r="E23" s="13">
        <v>6936</v>
      </c>
      <c r="F23" s="44">
        <f>E23/D23*100</f>
        <v>5.547468607534191</v>
      </c>
      <c r="G23" s="89">
        <f>E23/B23*100</f>
        <v>2513.0434782608695</v>
      </c>
    </row>
    <row r="24" spans="1:7" ht="12.75" customHeight="1">
      <c r="A24" s="109" t="s">
        <v>64</v>
      </c>
      <c r="B24" s="13"/>
      <c r="C24" s="13"/>
      <c r="D24" s="110"/>
      <c r="E24" s="13"/>
      <c r="F24" s="44"/>
      <c r="G24" s="89"/>
    </row>
    <row r="25" spans="1:7" ht="13.5" thickBot="1">
      <c r="A25" s="7" t="s">
        <v>21</v>
      </c>
      <c r="B25" s="14">
        <v>570893</v>
      </c>
      <c r="C25" s="14"/>
      <c r="D25" s="14"/>
      <c r="E25" s="14">
        <f>639829+1-1</f>
        <v>639829</v>
      </c>
      <c r="F25" s="83"/>
      <c r="G25" s="92">
        <v>0</v>
      </c>
    </row>
    <row r="26" spans="1:7" ht="12.75">
      <c r="A26" s="5"/>
      <c r="B26" s="15"/>
      <c r="C26" s="15"/>
      <c r="D26" s="15"/>
      <c r="E26" s="15"/>
      <c r="F26" s="45"/>
      <c r="G26" s="91"/>
    </row>
    <row r="27" spans="1:7" ht="12.75">
      <c r="A27" s="9" t="s">
        <v>22</v>
      </c>
      <c r="B27" s="10">
        <f>B29+B35</f>
        <v>2445844.19</v>
      </c>
      <c r="C27" s="10">
        <f>C29+C35</f>
        <v>2942639</v>
      </c>
      <c r="D27" s="10">
        <f>D29+D35</f>
        <v>3305192</v>
      </c>
      <c r="E27" s="10">
        <f>E29+E35</f>
        <v>2911332</v>
      </c>
      <c r="F27" s="43">
        <f>E27/D27*100</f>
        <v>88.08359695896638</v>
      </c>
      <c r="G27" s="93">
        <f>E27/B27*100</f>
        <v>119.03178509502685</v>
      </c>
    </row>
    <row r="28" spans="1:9" ht="12.75">
      <c r="A28" s="11" t="s">
        <v>23</v>
      </c>
      <c r="B28" s="13"/>
      <c r="C28" s="13"/>
      <c r="D28" s="13"/>
      <c r="E28" s="13"/>
      <c r="F28" s="44"/>
      <c r="G28" s="89"/>
      <c r="I28" s="69"/>
    </row>
    <row r="29" spans="1:7" ht="12.75">
      <c r="A29" s="9" t="s">
        <v>24</v>
      </c>
      <c r="B29" s="10">
        <f>B31+B32+B33</f>
        <v>568763</v>
      </c>
      <c r="C29" s="78">
        <f>C31+C32+C33</f>
        <v>625027</v>
      </c>
      <c r="D29" s="78">
        <f>D31+D32+D33</f>
        <v>724664</v>
      </c>
      <c r="E29" s="78">
        <f>E31+E32+E33</f>
        <v>557396</v>
      </c>
      <c r="F29" s="43">
        <f>E29/D29*100</f>
        <v>76.91785434353025</v>
      </c>
      <c r="G29" s="93">
        <f>E29/B29*100</f>
        <v>98.00145227449745</v>
      </c>
    </row>
    <row r="30" spans="1:7" ht="12.75">
      <c r="A30" s="11" t="s">
        <v>25</v>
      </c>
      <c r="B30" s="13"/>
      <c r="C30" s="13"/>
      <c r="D30" s="13"/>
      <c r="E30" s="13"/>
      <c r="F30" s="44"/>
      <c r="G30" s="89"/>
    </row>
    <row r="31" spans="1:7" ht="12.75">
      <c r="A31" s="11" t="s">
        <v>26</v>
      </c>
      <c r="B31" s="13">
        <v>468303</v>
      </c>
      <c r="C31" s="13">
        <v>461957</v>
      </c>
      <c r="D31" s="13">
        <f>552941</f>
        <v>552941</v>
      </c>
      <c r="E31" s="13">
        <f>416405</f>
        <v>416405</v>
      </c>
      <c r="F31" s="44">
        <f>E31/D31*100</f>
        <v>75.30731126829083</v>
      </c>
      <c r="G31" s="89">
        <f>E31/B31*100</f>
        <v>88.91785873675803</v>
      </c>
    </row>
    <row r="32" spans="1:7" ht="12.75">
      <c r="A32" s="11" t="s">
        <v>27</v>
      </c>
      <c r="B32" s="13">
        <v>100460</v>
      </c>
      <c r="C32" s="13">
        <f>358967-195897</f>
        <v>163070</v>
      </c>
      <c r="D32" s="13">
        <f>100+171623</f>
        <v>171723</v>
      </c>
      <c r="E32" s="13">
        <f>547+140443+1</f>
        <v>140991</v>
      </c>
      <c r="F32" s="44">
        <f>E32/D32*100</f>
        <v>82.10373683199106</v>
      </c>
      <c r="G32" s="89">
        <f>E32/B32*100</f>
        <v>140.34541110889907</v>
      </c>
    </row>
    <row r="33" spans="1:7" ht="12.75">
      <c r="A33" s="16" t="s">
        <v>28</v>
      </c>
      <c r="B33" s="17">
        <v>0</v>
      </c>
      <c r="C33" s="17">
        <v>0</v>
      </c>
      <c r="D33" s="17"/>
      <c r="E33" s="17"/>
      <c r="F33" s="46"/>
      <c r="G33" s="88"/>
    </row>
    <row r="34" spans="1:7" ht="12.75">
      <c r="A34" s="5"/>
      <c r="B34" s="15"/>
      <c r="C34" s="15"/>
      <c r="D34" s="15"/>
      <c r="E34" s="15"/>
      <c r="F34" s="45"/>
      <c r="G34" s="91"/>
    </row>
    <row r="35" spans="1:7" ht="12.75">
      <c r="A35" s="9" t="s">
        <v>29</v>
      </c>
      <c r="B35" s="10">
        <f>B37+B40+B41+B42+B43</f>
        <v>1877081.19</v>
      </c>
      <c r="C35" s="10">
        <f>C37+C40+C41+C42+C43</f>
        <v>2317612</v>
      </c>
      <c r="D35" s="10">
        <f>D37+D40+D41+D42+D43</f>
        <v>2580528</v>
      </c>
      <c r="E35" s="10">
        <f>E37+E40+E41+E42+E43</f>
        <v>2353936</v>
      </c>
      <c r="F35" s="43">
        <f>E35/D35*100</f>
        <v>91.21916134992529</v>
      </c>
      <c r="G35" s="93">
        <f>E35/B35*100</f>
        <v>125.40405884094976</v>
      </c>
    </row>
    <row r="36" spans="1:7" ht="12.75">
      <c r="A36" s="11" t="s">
        <v>25</v>
      </c>
      <c r="B36" s="13"/>
      <c r="C36" s="13"/>
      <c r="D36" s="13"/>
      <c r="E36" s="13"/>
      <c r="F36" s="44"/>
      <c r="G36" s="89"/>
    </row>
    <row r="37" spans="1:8" ht="12.75">
      <c r="A37" s="18" t="s">
        <v>30</v>
      </c>
      <c r="B37" s="19">
        <f>B38+B39</f>
        <v>580550</v>
      </c>
      <c r="C37" s="19">
        <f>C38+C39</f>
        <v>643945</v>
      </c>
      <c r="D37" s="19">
        <f>D38+D39</f>
        <v>652405</v>
      </c>
      <c r="E37" s="19">
        <f>E38+E39</f>
        <v>649002</v>
      </c>
      <c r="F37" s="47">
        <f>E37/D37*100</f>
        <v>99.47839148994872</v>
      </c>
      <c r="G37" s="94">
        <f>E37/B37*100</f>
        <v>111.79088795108088</v>
      </c>
      <c r="H37" s="97"/>
    </row>
    <row r="38" spans="1:7" ht="12.75">
      <c r="A38" s="11" t="s">
        <v>31</v>
      </c>
      <c r="B38" s="13">
        <v>561768</v>
      </c>
      <c r="C38" s="13">
        <v>624907</v>
      </c>
      <c r="D38" s="13">
        <v>632658</v>
      </c>
      <c r="E38" s="13">
        <v>630127</v>
      </c>
      <c r="F38" s="44">
        <f>E38/D38*100</f>
        <v>99.59994183271215</v>
      </c>
      <c r="G38" s="89">
        <f>E38/B38*100</f>
        <v>112.16854644621978</v>
      </c>
    </row>
    <row r="39" spans="1:7" ht="12.75">
      <c r="A39" s="77" t="s">
        <v>32</v>
      </c>
      <c r="B39" s="13">
        <v>18782</v>
      </c>
      <c r="C39" s="13">
        <v>19038</v>
      </c>
      <c r="D39" s="13">
        <v>19747</v>
      </c>
      <c r="E39" s="13">
        <f>18874+1</f>
        <v>18875</v>
      </c>
      <c r="F39" s="44">
        <f>E39/D39*100</f>
        <v>95.58413936294122</v>
      </c>
      <c r="G39" s="89">
        <f>E39/B39*100</f>
        <v>100.49515493557661</v>
      </c>
    </row>
    <row r="40" spans="1:10" ht="12.75">
      <c r="A40" s="26" t="s">
        <v>33</v>
      </c>
      <c r="B40" s="27">
        <v>201126</v>
      </c>
      <c r="C40" s="27">
        <v>225377</v>
      </c>
      <c r="D40" s="27">
        <v>228352</v>
      </c>
      <c r="E40" s="19">
        <f>224360+1-1</f>
        <v>224360</v>
      </c>
      <c r="F40" s="47">
        <f>E40/D40*100</f>
        <v>98.25182174887892</v>
      </c>
      <c r="G40" s="94">
        <f>E40/B40*100</f>
        <v>111.55196245139862</v>
      </c>
      <c r="J40" s="2" t="s">
        <v>56</v>
      </c>
    </row>
    <row r="41" spans="1:7" ht="12.75">
      <c r="A41" s="26" t="s">
        <v>34</v>
      </c>
      <c r="B41" s="27">
        <v>11227</v>
      </c>
      <c r="C41" s="27">
        <v>12500</v>
      </c>
      <c r="D41" s="27">
        <v>12627</v>
      </c>
      <c r="E41" s="19">
        <f>12613+1-1</f>
        <v>12613</v>
      </c>
      <c r="F41" s="47">
        <f>E41/D41*100</f>
        <v>99.88912647501385</v>
      </c>
      <c r="G41" s="94">
        <f>E41/B41*100</f>
        <v>112.34523915560702</v>
      </c>
    </row>
    <row r="42" spans="1:7" ht="12.75">
      <c r="A42" s="18" t="s">
        <v>35</v>
      </c>
      <c r="B42" s="19">
        <v>0</v>
      </c>
      <c r="C42" s="19">
        <v>0</v>
      </c>
      <c r="D42" s="48"/>
      <c r="E42" s="47"/>
      <c r="F42" s="44"/>
      <c r="G42" s="89"/>
    </row>
    <row r="43" spans="1:7" ht="12.75">
      <c r="A43" s="18" t="s">
        <v>36</v>
      </c>
      <c r="B43" s="19">
        <f>B45+B46+B47+B49+B53</f>
        <v>1084178.19</v>
      </c>
      <c r="C43" s="19">
        <f>C45+C46+C47+C49+C53</f>
        <v>1435790</v>
      </c>
      <c r="D43" s="19">
        <f>D45+D46+D47+D49+D53</f>
        <v>1687144</v>
      </c>
      <c r="E43" s="19">
        <f>E45+E46+E47+E49+E53</f>
        <v>1467961</v>
      </c>
      <c r="F43" s="47">
        <f>E43/D43*100</f>
        <v>87.00863708136353</v>
      </c>
      <c r="G43" s="94">
        <f>E43/B43*100</f>
        <v>135.39849939242922</v>
      </c>
    </row>
    <row r="44" spans="1:7" ht="12.75">
      <c r="A44" s="11" t="s">
        <v>37</v>
      </c>
      <c r="B44" s="13"/>
      <c r="C44" s="13"/>
      <c r="D44" s="13"/>
      <c r="E44" s="13"/>
      <c r="F44" s="44"/>
      <c r="G44" s="89"/>
    </row>
    <row r="45" spans="1:7" ht="12.75">
      <c r="A45" s="11" t="s">
        <v>38</v>
      </c>
      <c r="B45" s="13">
        <f>61+30232</f>
        <v>30293</v>
      </c>
      <c r="C45" s="13">
        <f>38594-345</f>
        <v>38249</v>
      </c>
      <c r="D45" s="13">
        <f>210+39868</f>
        <v>40078</v>
      </c>
      <c r="E45" s="13">
        <f>57+33076+1</f>
        <v>33134</v>
      </c>
      <c r="F45" s="44">
        <f aca="true" t="shared" si="0" ref="F45:F54">E45/D45*100</f>
        <v>82.67378611707171</v>
      </c>
      <c r="G45" s="89">
        <f aca="true" t="shared" si="1" ref="G45:G57">E45/B45*100</f>
        <v>109.37840425180734</v>
      </c>
    </row>
    <row r="46" spans="1:7" ht="12.75">
      <c r="A46" s="11" t="s">
        <v>39</v>
      </c>
      <c r="B46" s="13">
        <f>114.45+24372.74</f>
        <v>24487.190000000002</v>
      </c>
      <c r="C46" s="13">
        <f>65343-11186</f>
        <v>54157</v>
      </c>
      <c r="D46" s="13">
        <f>337+44536</f>
        <v>44873</v>
      </c>
      <c r="E46" s="13">
        <f>168+35630+1</f>
        <v>35799</v>
      </c>
      <c r="F46" s="44">
        <f t="shared" si="0"/>
        <v>79.77848594923451</v>
      </c>
      <c r="G46" s="89">
        <f t="shared" si="1"/>
        <v>146.19480634568524</v>
      </c>
    </row>
    <row r="47" spans="1:7" ht="12.75">
      <c r="A47" s="11" t="s">
        <v>40</v>
      </c>
      <c r="B47" s="13">
        <f>219+552+647346+1</f>
        <v>648118</v>
      </c>
      <c r="C47" s="13">
        <f>1016920-35256</f>
        <v>981664</v>
      </c>
      <c r="D47" s="13">
        <f>325+502+1188976</f>
        <v>1189803</v>
      </c>
      <c r="E47" s="13">
        <f>202+224+1033876+1</f>
        <v>1034303</v>
      </c>
      <c r="F47" s="44">
        <f t="shared" si="0"/>
        <v>86.93060952107197</v>
      </c>
      <c r="G47" s="89">
        <f t="shared" si="1"/>
        <v>159.58560015305855</v>
      </c>
    </row>
    <row r="48" spans="1:7" ht="12.75">
      <c r="A48" s="11" t="s">
        <v>41</v>
      </c>
      <c r="B48" s="13">
        <f>7879+1</f>
        <v>7880</v>
      </c>
      <c r="C48" s="13">
        <f>32053-16000</f>
        <v>16053</v>
      </c>
      <c r="D48" s="13">
        <v>11796</v>
      </c>
      <c r="E48" s="13">
        <v>8932</v>
      </c>
      <c r="F48" s="44">
        <f t="shared" si="0"/>
        <v>75.72058324855884</v>
      </c>
      <c r="G48" s="89">
        <f t="shared" si="1"/>
        <v>113.3502538071066</v>
      </c>
    </row>
    <row r="49" spans="1:7" ht="12.75">
      <c r="A49" s="11" t="s">
        <v>42</v>
      </c>
      <c r="B49" s="13">
        <f>533+340792</f>
        <v>341325</v>
      </c>
      <c r="C49" s="13">
        <f>400547-56161</f>
        <v>344386</v>
      </c>
      <c r="D49" s="13">
        <f>989+18+215957</f>
        <v>216964</v>
      </c>
      <c r="E49" s="13">
        <f>691+1+192679+1-1</f>
        <v>193371</v>
      </c>
      <c r="F49" s="44">
        <f t="shared" si="0"/>
        <v>89.12584576243063</v>
      </c>
      <c r="G49" s="89">
        <f t="shared" si="1"/>
        <v>56.65304328718963</v>
      </c>
    </row>
    <row r="50" spans="1:7" ht="12.75">
      <c r="A50" s="11" t="s">
        <v>43</v>
      </c>
      <c r="B50" s="13">
        <f>532+1+298833</f>
        <v>299366</v>
      </c>
      <c r="C50" s="13">
        <f>314404-56161</f>
        <v>258243</v>
      </c>
      <c r="D50" s="13">
        <f>989+114372</f>
        <v>115361</v>
      </c>
      <c r="E50" s="13">
        <f>691+1+109997</f>
        <v>110689</v>
      </c>
      <c r="F50" s="44">
        <f t="shared" si="0"/>
        <v>95.95010445471172</v>
      </c>
      <c r="G50" s="89">
        <f t="shared" si="1"/>
        <v>36.974472719012844</v>
      </c>
    </row>
    <row r="51" spans="1:7" ht="12.75">
      <c r="A51" s="11" t="s">
        <v>44</v>
      </c>
      <c r="B51" s="13">
        <f>7189+1</f>
        <v>7190</v>
      </c>
      <c r="C51" s="13">
        <v>25016</v>
      </c>
      <c r="D51" s="13">
        <v>43984</v>
      </c>
      <c r="E51" s="13">
        <f>44024+1</f>
        <v>44025</v>
      </c>
      <c r="F51" s="44">
        <f t="shared" si="0"/>
        <v>100.09321571480538</v>
      </c>
      <c r="G51" s="89">
        <f t="shared" si="1"/>
        <v>612.3087621696801</v>
      </c>
    </row>
    <row r="52" spans="1:7" ht="12.75">
      <c r="A52" s="11" t="s">
        <v>45</v>
      </c>
      <c r="B52" s="13">
        <f>27031+1</f>
        <v>27032</v>
      </c>
      <c r="C52" s="13">
        <v>51993</v>
      </c>
      <c r="D52" s="13">
        <f>18+51578</f>
        <v>51596</v>
      </c>
      <c r="E52" s="13">
        <f>34478+1</f>
        <v>34479</v>
      </c>
      <c r="F52" s="44">
        <f t="shared" si="0"/>
        <v>66.82494767036205</v>
      </c>
      <c r="G52" s="89">
        <f t="shared" si="1"/>
        <v>127.54883101509323</v>
      </c>
    </row>
    <row r="53" spans="1:7" ht="13.5" thickBot="1">
      <c r="A53" s="73" t="s">
        <v>46</v>
      </c>
      <c r="B53" s="112">
        <v>39955</v>
      </c>
      <c r="C53" s="74">
        <f>505+25+5908+276+7640+20+2830+130</f>
        <v>17334</v>
      </c>
      <c r="D53" s="74">
        <f>1463+2505+72638+60010+5279+21240+18+2062+202+18733+11276</f>
        <v>195426</v>
      </c>
      <c r="E53" s="74">
        <f>1418+2339+1+72637+1+45182+464+13170+1+1480+201+17665+16794+1</f>
        <v>171354</v>
      </c>
      <c r="F53" s="83">
        <f t="shared" si="0"/>
        <v>87.6822940652728</v>
      </c>
      <c r="G53" s="92">
        <f t="shared" si="1"/>
        <v>428.86747591039926</v>
      </c>
    </row>
    <row r="54" spans="1:7" ht="12.75">
      <c r="A54" s="11" t="s">
        <v>47</v>
      </c>
      <c r="B54" s="13">
        <v>1306</v>
      </c>
      <c r="C54" s="13">
        <v>1441</v>
      </c>
      <c r="D54" s="13">
        <v>1444</v>
      </c>
      <c r="E54" s="13">
        <v>1374</v>
      </c>
      <c r="F54" s="44">
        <f t="shared" si="0"/>
        <v>95.15235457063712</v>
      </c>
      <c r="G54" s="89">
        <f t="shared" si="1"/>
        <v>105.20673813169985</v>
      </c>
    </row>
    <row r="55" spans="1:7" ht="12.75" hidden="1">
      <c r="A55" s="11" t="s">
        <v>69</v>
      </c>
      <c r="B55" s="105"/>
      <c r="C55" s="13"/>
      <c r="D55" s="25"/>
      <c r="E55" s="105"/>
      <c r="F55" s="44">
        <f>E55/D38*100</f>
        <v>0</v>
      </c>
      <c r="G55" s="89" t="e">
        <f t="shared" si="1"/>
        <v>#DIV/0!</v>
      </c>
    </row>
    <row r="56" spans="1:7" ht="12.75">
      <c r="A56" s="11" t="s">
        <v>48</v>
      </c>
      <c r="B56" s="13">
        <f>B38/B54/12*1000</f>
        <v>35845.32924961715</v>
      </c>
      <c r="C56" s="13">
        <f>C38/C54/12*1000</f>
        <v>36138.50335415221</v>
      </c>
      <c r="D56" s="13">
        <f>D38/D54/12*1000</f>
        <v>36510.73407202216</v>
      </c>
      <c r="E56" s="13">
        <f>E38/E54/12*1000</f>
        <v>38217.30955846676</v>
      </c>
      <c r="F56" s="44">
        <f>E56/D56*100</f>
        <v>104.67417467717345</v>
      </c>
      <c r="G56" s="89">
        <f t="shared" si="1"/>
        <v>106.61726467158883</v>
      </c>
    </row>
    <row r="57" spans="1:8" ht="13.5" thickBot="1">
      <c r="A57" s="7" t="s">
        <v>49</v>
      </c>
      <c r="B57" s="14">
        <f>B43/B54*1000</f>
        <v>830151.7534456354</v>
      </c>
      <c r="C57" s="14">
        <f>C43/C54*1000</f>
        <v>996384.4552394171</v>
      </c>
      <c r="D57" s="14">
        <f>D43/D54*1000</f>
        <v>1168382.2714681441</v>
      </c>
      <c r="E57" s="14">
        <f>E43/E54*1000</f>
        <v>1068385.0072780203</v>
      </c>
      <c r="F57" s="83">
        <f>E57/D57*100</f>
        <v>91.44139151782309</v>
      </c>
      <c r="G57" s="96">
        <f t="shared" si="1"/>
        <v>128.6975547354531</v>
      </c>
      <c r="H57" s="34"/>
    </row>
    <row r="58" ht="12.75">
      <c r="A58" s="2" t="s">
        <v>76</v>
      </c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J16" sqref="J16"/>
    </sheetView>
  </sheetViews>
  <sheetFormatPr defaultColWidth="9.125" defaultRowHeight="12.75"/>
  <cols>
    <col min="1" max="1" width="33.125" style="2" customWidth="1"/>
    <col min="2" max="2" width="10.375" style="69" customWidth="1"/>
    <col min="3" max="3" width="9.625" style="2" customWidth="1"/>
    <col min="4" max="4" width="9.75390625" style="2" customWidth="1"/>
    <col min="5" max="5" width="10.875" style="2" customWidth="1"/>
    <col min="6" max="6" width="8.00390625" style="2" customWidth="1"/>
    <col min="7" max="16384" width="9.125" style="2" customWidth="1"/>
  </cols>
  <sheetData>
    <row r="1" spans="1:2" ht="12.75">
      <c r="A1" s="1" t="s">
        <v>50</v>
      </c>
      <c r="B1" s="68"/>
    </row>
    <row r="2" ht="12.75">
      <c r="A2" s="2" t="s">
        <v>68</v>
      </c>
    </row>
    <row r="3" spans="1:7" ht="13.5" thickBot="1">
      <c r="A3" s="2" t="s">
        <v>77</v>
      </c>
      <c r="E3" s="3"/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22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7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42" t="s">
        <v>70</v>
      </c>
      <c r="G7" s="23" t="s">
        <v>71</v>
      </c>
    </row>
    <row r="8" spans="1:7" ht="12.75">
      <c r="A8" s="9" t="s">
        <v>9</v>
      </c>
      <c r="B8" s="10">
        <f>B10+B12+B14+B15+B16+B17+B18+B20+B22+B25</f>
        <v>0</v>
      </c>
      <c r="C8" s="10">
        <f>SUM(C10:C25)</f>
        <v>0</v>
      </c>
      <c r="D8" s="10">
        <f>SUM(D10:D25)</f>
        <v>0</v>
      </c>
      <c r="E8" s="10">
        <f>SUM(E10:E25)</f>
        <v>0</v>
      </c>
      <c r="F8" s="43" t="e">
        <f>E8/D8*100</f>
        <v>#DIV/0!</v>
      </c>
      <c r="G8" s="81" t="e">
        <f>E8/B8*100</f>
        <v>#DIV/0!</v>
      </c>
    </row>
    <row r="9" spans="1:7" ht="12.75">
      <c r="A9" s="11" t="s">
        <v>10</v>
      </c>
      <c r="B9" s="13"/>
      <c r="C9" s="13"/>
      <c r="D9" s="13"/>
      <c r="E9" s="13"/>
      <c r="F9" s="44"/>
      <c r="G9" s="12"/>
    </row>
    <row r="10" spans="1:7" ht="12.75">
      <c r="A10" s="11" t="s">
        <v>11</v>
      </c>
      <c r="B10" s="13"/>
      <c r="C10" s="13"/>
      <c r="D10" s="13"/>
      <c r="E10" s="13"/>
      <c r="F10" s="44"/>
      <c r="G10" s="12"/>
    </row>
    <row r="11" spans="1:7" ht="12.75">
      <c r="A11" s="11" t="s">
        <v>12</v>
      </c>
      <c r="B11" s="13"/>
      <c r="C11" s="13"/>
      <c r="D11" s="13"/>
      <c r="E11" s="13"/>
      <c r="F11" s="44"/>
      <c r="G11" s="12"/>
    </row>
    <row r="12" spans="1:7" ht="12.75">
      <c r="A12" s="11" t="s">
        <v>13</v>
      </c>
      <c r="B12" s="13"/>
      <c r="C12" s="13"/>
      <c r="D12" s="13"/>
      <c r="E12" s="13"/>
      <c r="F12" s="44" t="e">
        <f>E12/D12*100</f>
        <v>#DIV/0!</v>
      </c>
      <c r="G12" s="82" t="e">
        <f>E12/B12*100</f>
        <v>#DIV/0!</v>
      </c>
    </row>
    <row r="13" spans="1:7" ht="12.75">
      <c r="A13" s="101" t="s">
        <v>59</v>
      </c>
      <c r="B13" s="13"/>
      <c r="C13" s="13"/>
      <c r="D13" s="13"/>
      <c r="E13" s="13"/>
      <c r="F13" s="44"/>
      <c r="G13" s="82"/>
    </row>
    <row r="14" spans="1:7" ht="12.75">
      <c r="A14" s="11" t="s">
        <v>14</v>
      </c>
      <c r="B14" s="13"/>
      <c r="C14" s="13"/>
      <c r="D14" s="13"/>
      <c r="E14" s="13"/>
      <c r="F14" s="44" t="e">
        <f>E14/D14*100</f>
        <v>#DIV/0!</v>
      </c>
      <c r="G14" s="82" t="e">
        <f>E14/B14*100</f>
        <v>#DIV/0!</v>
      </c>
    </row>
    <row r="15" spans="1:7" ht="12.75">
      <c r="A15" s="11" t="s">
        <v>15</v>
      </c>
      <c r="B15" s="13"/>
      <c r="C15" s="13"/>
      <c r="D15" s="13"/>
      <c r="E15" s="13"/>
      <c r="F15" s="44" t="e">
        <f>E15/D15*100</f>
        <v>#DIV/0!</v>
      </c>
      <c r="G15" s="82" t="e">
        <f>E15/B15*100</f>
        <v>#DIV/0!</v>
      </c>
    </row>
    <row r="16" spans="1:7" ht="12.75">
      <c r="A16" s="11" t="s">
        <v>16</v>
      </c>
      <c r="B16" s="25"/>
      <c r="C16" s="13"/>
      <c r="D16" s="13"/>
      <c r="E16" s="25"/>
      <c r="F16" s="44"/>
      <c r="G16" s="82" t="e">
        <f>E16/B16*100</f>
        <v>#DIV/0!</v>
      </c>
    </row>
    <row r="17" spans="1:7" ht="12.75">
      <c r="A17" s="11" t="s">
        <v>17</v>
      </c>
      <c r="B17" s="25"/>
      <c r="C17" s="13"/>
      <c r="D17" s="13"/>
      <c r="E17" s="25"/>
      <c r="F17" s="44" t="e">
        <f>E17/D17*100</f>
        <v>#DIV/0!</v>
      </c>
      <c r="G17" s="82" t="e">
        <f>E17/B17*100</f>
        <v>#DIV/0!</v>
      </c>
    </row>
    <row r="18" spans="1:7" ht="12.75">
      <c r="A18" s="11" t="s">
        <v>18</v>
      </c>
      <c r="B18" s="13"/>
      <c r="C18" s="13"/>
      <c r="D18" s="13"/>
      <c r="E18" s="25"/>
      <c r="F18" s="44" t="e">
        <f>E18/D18*100</f>
        <v>#DIV/0!</v>
      </c>
      <c r="G18" s="82" t="e">
        <f>E18/B18*100</f>
        <v>#DIV/0!</v>
      </c>
    </row>
    <row r="19" spans="1:7" ht="12.75">
      <c r="A19" s="102" t="s">
        <v>60</v>
      </c>
      <c r="B19" s="13"/>
      <c r="C19" s="13"/>
      <c r="D19" s="13"/>
      <c r="E19" s="25"/>
      <c r="F19" s="44"/>
      <c r="G19" s="82"/>
    </row>
    <row r="20" spans="1:7" ht="12.75">
      <c r="A20" s="11" t="s">
        <v>19</v>
      </c>
      <c r="B20" s="13"/>
      <c r="C20" s="13"/>
      <c r="D20" s="13"/>
      <c r="E20" s="25"/>
      <c r="F20" s="44" t="e">
        <f>E20/D20*100</f>
        <v>#DIV/0!</v>
      </c>
      <c r="G20" s="82" t="e">
        <f>E20/B20*100</f>
        <v>#DIV/0!</v>
      </c>
    </row>
    <row r="21" spans="1:7" ht="12.75">
      <c r="A21" s="102" t="s">
        <v>61</v>
      </c>
      <c r="B21" s="13"/>
      <c r="C21" s="13"/>
      <c r="D21" s="13"/>
      <c r="E21" s="25"/>
      <c r="F21" s="44"/>
      <c r="G21" s="82"/>
    </row>
    <row r="22" spans="1:7" ht="12.75" customHeight="1">
      <c r="A22" s="11" t="s">
        <v>20</v>
      </c>
      <c r="B22" s="13"/>
      <c r="C22" s="13"/>
      <c r="D22" s="13"/>
      <c r="E22" s="13"/>
      <c r="F22" s="44"/>
      <c r="G22" s="82" t="e">
        <f>E22/B22*100</f>
        <v>#DIV/0!</v>
      </c>
    </row>
    <row r="23" spans="1:7" ht="12.75" customHeight="1">
      <c r="A23" s="11" t="s">
        <v>63</v>
      </c>
      <c r="B23" s="13"/>
      <c r="C23" s="13"/>
      <c r="D23" s="13"/>
      <c r="E23" s="13"/>
      <c r="F23" s="44"/>
      <c r="G23" s="82"/>
    </row>
    <row r="24" spans="1:7" ht="12.75" customHeight="1">
      <c r="A24" s="109" t="s">
        <v>64</v>
      </c>
      <c r="B24" s="13"/>
      <c r="C24" s="13"/>
      <c r="D24" s="110"/>
      <c r="E24" s="13"/>
      <c r="F24" s="44"/>
      <c r="G24" s="82"/>
    </row>
    <row r="25" spans="1:7" ht="13.5" thickBot="1">
      <c r="A25" s="7" t="s">
        <v>21</v>
      </c>
      <c r="B25" s="14"/>
      <c r="C25" s="14"/>
      <c r="D25" s="14"/>
      <c r="E25" s="14"/>
      <c r="F25" s="83"/>
      <c r="G25" s="84">
        <v>0</v>
      </c>
    </row>
    <row r="26" spans="1:7" ht="12.75">
      <c r="A26" s="5"/>
      <c r="B26" s="15"/>
      <c r="C26" s="15"/>
      <c r="D26" s="15"/>
      <c r="E26" s="15"/>
      <c r="F26" s="45"/>
      <c r="G26" s="6"/>
    </row>
    <row r="27" spans="1:7" ht="12.75">
      <c r="A27" s="9" t="s">
        <v>22</v>
      </c>
      <c r="B27" s="10">
        <f>B29+B35</f>
        <v>0</v>
      </c>
      <c r="C27" s="10">
        <f>C29+C35</f>
        <v>298845</v>
      </c>
      <c r="D27" s="10">
        <f>D29+D35</f>
        <v>0</v>
      </c>
      <c r="E27" s="10">
        <f>E29+E35</f>
        <v>0</v>
      </c>
      <c r="F27" s="43" t="e">
        <f>E27/D27*100</f>
        <v>#DIV/0!</v>
      </c>
      <c r="G27" s="81" t="e">
        <f>E27/B27*100</f>
        <v>#DIV/0!</v>
      </c>
    </row>
    <row r="28" spans="1:7" ht="12.75">
      <c r="A28" s="11" t="s">
        <v>23</v>
      </c>
      <c r="B28" s="13"/>
      <c r="C28" s="13"/>
      <c r="D28" s="13"/>
      <c r="E28" s="13"/>
      <c r="F28" s="44"/>
      <c r="G28" s="12"/>
    </row>
    <row r="29" spans="1:7" ht="12.75">
      <c r="A29" s="9" t="s">
        <v>24</v>
      </c>
      <c r="B29" s="10">
        <f>B31+B32+B33</f>
        <v>0</v>
      </c>
      <c r="C29" s="78">
        <f>C31+C32+C33</f>
        <v>195897</v>
      </c>
      <c r="D29" s="78">
        <f>D31+D32+D33</f>
        <v>0</v>
      </c>
      <c r="E29" s="78">
        <f>E31+E32+E33</f>
        <v>0</v>
      </c>
      <c r="F29" s="43" t="e">
        <f>E29/D29*100</f>
        <v>#DIV/0!</v>
      </c>
      <c r="G29" s="81" t="e">
        <f>E29/B29*100</f>
        <v>#DIV/0!</v>
      </c>
    </row>
    <row r="30" spans="1:7" ht="12.75">
      <c r="A30" s="11" t="s">
        <v>25</v>
      </c>
      <c r="B30" s="13"/>
      <c r="C30" s="13"/>
      <c r="D30" s="13"/>
      <c r="E30" s="13"/>
      <c r="F30" s="44"/>
      <c r="G30" s="12"/>
    </row>
    <row r="31" spans="1:7" ht="12.75">
      <c r="A31" s="11" t="s">
        <v>26</v>
      </c>
      <c r="B31" s="13"/>
      <c r="C31" s="13">
        <v>0</v>
      </c>
      <c r="D31" s="13"/>
      <c r="E31" s="13"/>
      <c r="F31" s="44" t="e">
        <f>E31/D31*100</f>
        <v>#DIV/0!</v>
      </c>
      <c r="G31" s="82" t="e">
        <f>E31/B31*100</f>
        <v>#DIV/0!</v>
      </c>
    </row>
    <row r="32" spans="1:7" ht="12.75">
      <c r="A32" s="11" t="s">
        <v>27</v>
      </c>
      <c r="B32" s="13"/>
      <c r="C32" s="13">
        <v>195897</v>
      </c>
      <c r="D32" s="13"/>
      <c r="E32" s="13">
        <v>0</v>
      </c>
      <c r="F32" s="44" t="e">
        <f>E32/D32*100</f>
        <v>#DIV/0!</v>
      </c>
      <c r="G32" s="82" t="e">
        <f>E32/B32*100</f>
        <v>#DIV/0!</v>
      </c>
    </row>
    <row r="33" spans="1:7" ht="12.75">
      <c r="A33" s="16" t="s">
        <v>28</v>
      </c>
      <c r="B33" s="17"/>
      <c r="C33" s="17">
        <v>0</v>
      </c>
      <c r="D33" s="17"/>
      <c r="E33" s="17"/>
      <c r="F33" s="46"/>
      <c r="G33" s="24"/>
    </row>
    <row r="34" spans="1:7" ht="12.75">
      <c r="A34" s="5"/>
      <c r="B34" s="15"/>
      <c r="C34" s="15"/>
      <c r="D34" s="15"/>
      <c r="E34" s="15"/>
      <c r="F34" s="45"/>
      <c r="G34" s="6"/>
    </row>
    <row r="35" spans="1:7" ht="12.75">
      <c r="A35" s="9" t="s">
        <v>29</v>
      </c>
      <c r="B35" s="10">
        <f>B37+B40+B41+B42+B43</f>
        <v>0</v>
      </c>
      <c r="C35" s="10">
        <f>C37+C40+C41+C42+C43</f>
        <v>102948</v>
      </c>
      <c r="D35" s="10">
        <f>D37+D40+D41+D42+D43</f>
        <v>0</v>
      </c>
      <c r="E35" s="10">
        <f>E37+E40+E41+E42+E43</f>
        <v>0</v>
      </c>
      <c r="F35" s="43" t="e">
        <f>E35/D35*100</f>
        <v>#DIV/0!</v>
      </c>
      <c r="G35" s="81" t="e">
        <f>E35/B35*100</f>
        <v>#DIV/0!</v>
      </c>
    </row>
    <row r="36" spans="1:7" ht="12.75">
      <c r="A36" s="11" t="s">
        <v>25</v>
      </c>
      <c r="B36" s="13"/>
      <c r="C36" s="13"/>
      <c r="D36" s="13"/>
      <c r="E36" s="13"/>
      <c r="F36" s="44"/>
      <c r="G36" s="12"/>
    </row>
    <row r="37" spans="1:7" ht="12.75">
      <c r="A37" s="18" t="s">
        <v>30</v>
      </c>
      <c r="B37" s="19">
        <f>B38+B39</f>
        <v>0</v>
      </c>
      <c r="C37" s="19">
        <f>C38+C39</f>
        <v>0</v>
      </c>
      <c r="D37" s="19">
        <f>D38+D39</f>
        <v>0</v>
      </c>
      <c r="E37" s="19">
        <f>E38+E39</f>
        <v>0</v>
      </c>
      <c r="F37" s="47" t="e">
        <f>E37/D37*100</f>
        <v>#DIV/0!</v>
      </c>
      <c r="G37" s="85" t="e">
        <f aca="true" t="shared" si="0" ref="G37:G43">E37/B37*100</f>
        <v>#DIV/0!</v>
      </c>
    </row>
    <row r="38" spans="1:7" ht="12.75">
      <c r="A38" s="11" t="s">
        <v>31</v>
      </c>
      <c r="B38" s="13"/>
      <c r="C38" s="13"/>
      <c r="D38" s="13"/>
      <c r="E38" s="13"/>
      <c r="F38" s="44" t="e">
        <f>E38/D38*100</f>
        <v>#DIV/0!</v>
      </c>
      <c r="G38" s="82" t="e">
        <f t="shared" si="0"/>
        <v>#DIV/0!</v>
      </c>
    </row>
    <row r="39" spans="1:7" ht="12.75">
      <c r="A39" s="77" t="s">
        <v>32</v>
      </c>
      <c r="B39" s="13"/>
      <c r="C39" s="13"/>
      <c r="D39" s="13"/>
      <c r="E39" s="13"/>
      <c r="F39" s="44" t="e">
        <f>E39/D39*100</f>
        <v>#DIV/0!</v>
      </c>
      <c r="G39" s="82" t="e">
        <f t="shared" si="0"/>
        <v>#DIV/0!</v>
      </c>
    </row>
    <row r="40" spans="1:10" ht="12.75">
      <c r="A40" s="26" t="s">
        <v>33</v>
      </c>
      <c r="B40" s="27"/>
      <c r="C40" s="27"/>
      <c r="D40" s="27"/>
      <c r="E40" s="27"/>
      <c r="F40" s="47" t="e">
        <f>E40/D40*100</f>
        <v>#DIV/0!</v>
      </c>
      <c r="G40" s="85" t="e">
        <f t="shared" si="0"/>
        <v>#DIV/0!</v>
      </c>
      <c r="J40" s="2" t="s">
        <v>56</v>
      </c>
    </row>
    <row r="41" spans="1:7" ht="12.75">
      <c r="A41" s="26" t="s">
        <v>34</v>
      </c>
      <c r="B41" s="27"/>
      <c r="C41" s="27"/>
      <c r="D41" s="27"/>
      <c r="E41" s="27"/>
      <c r="F41" s="47" t="e">
        <f>E41/D41*100</f>
        <v>#DIV/0!</v>
      </c>
      <c r="G41" s="85" t="e">
        <f t="shared" si="0"/>
        <v>#DIV/0!</v>
      </c>
    </row>
    <row r="42" spans="1:7" ht="12.75">
      <c r="A42" s="18" t="s">
        <v>35</v>
      </c>
      <c r="B42" s="48"/>
      <c r="C42" s="19"/>
      <c r="D42" s="48"/>
      <c r="E42" s="48"/>
      <c r="F42" s="44"/>
      <c r="G42" s="82" t="e">
        <f t="shared" si="0"/>
        <v>#DIV/0!</v>
      </c>
    </row>
    <row r="43" spans="1:7" ht="12.75">
      <c r="A43" s="18" t="s">
        <v>36</v>
      </c>
      <c r="B43" s="19">
        <f>B45+B46+B47+B49+B53</f>
        <v>0</v>
      </c>
      <c r="C43" s="19">
        <f>C45+C46+C47+C49+C53</f>
        <v>102948</v>
      </c>
      <c r="D43" s="19">
        <f>D45+D46+D47+D49+D53</f>
        <v>0</v>
      </c>
      <c r="E43" s="19">
        <f>E45+E46+E47+E49+E53</f>
        <v>0</v>
      </c>
      <c r="F43" s="47" t="e">
        <f>E43/D43*100</f>
        <v>#DIV/0!</v>
      </c>
      <c r="G43" s="85" t="e">
        <f t="shared" si="0"/>
        <v>#DIV/0!</v>
      </c>
    </row>
    <row r="44" spans="1:7" ht="12.75">
      <c r="A44" s="11" t="s">
        <v>37</v>
      </c>
      <c r="B44" s="13"/>
      <c r="C44" s="13"/>
      <c r="D44" s="13"/>
      <c r="E44" s="13"/>
      <c r="F44" s="44"/>
      <c r="G44" s="82"/>
    </row>
    <row r="45" spans="1:7" ht="12.75">
      <c r="A45" s="11" t="s">
        <v>38</v>
      </c>
      <c r="B45" s="13"/>
      <c r="C45" s="13">
        <v>345</v>
      </c>
      <c r="D45" s="13"/>
      <c r="E45" s="13"/>
      <c r="F45" s="44" t="e">
        <f aca="true" t="shared" si="1" ref="F45:F54">E45/D45*100</f>
        <v>#DIV/0!</v>
      </c>
      <c r="G45" s="82" t="e">
        <f aca="true" t="shared" si="2" ref="G45:G55">E45/B45*100</f>
        <v>#DIV/0!</v>
      </c>
    </row>
    <row r="46" spans="1:7" ht="12.75">
      <c r="A46" s="11" t="s">
        <v>39</v>
      </c>
      <c r="B46" s="13"/>
      <c r="C46" s="13">
        <v>11186</v>
      </c>
      <c r="D46" s="13"/>
      <c r="E46" s="13"/>
      <c r="F46" s="44" t="e">
        <f t="shared" si="1"/>
        <v>#DIV/0!</v>
      </c>
      <c r="G46" s="82" t="e">
        <f t="shared" si="2"/>
        <v>#DIV/0!</v>
      </c>
    </row>
    <row r="47" spans="1:7" ht="12.75">
      <c r="A47" s="11" t="s">
        <v>40</v>
      </c>
      <c r="B47" s="13"/>
      <c r="C47" s="13">
        <v>35256</v>
      </c>
      <c r="D47" s="13"/>
      <c r="E47" s="13"/>
      <c r="F47" s="44" t="e">
        <f t="shared" si="1"/>
        <v>#DIV/0!</v>
      </c>
      <c r="G47" s="82" t="e">
        <f t="shared" si="2"/>
        <v>#DIV/0!</v>
      </c>
    </row>
    <row r="48" spans="1:7" ht="12.75">
      <c r="A48" s="11" t="s">
        <v>41</v>
      </c>
      <c r="B48" s="13"/>
      <c r="C48" s="13">
        <v>16000</v>
      </c>
      <c r="D48" s="13"/>
      <c r="E48" s="13"/>
      <c r="F48" s="44" t="e">
        <f t="shared" si="1"/>
        <v>#DIV/0!</v>
      </c>
      <c r="G48" s="82" t="e">
        <f t="shared" si="2"/>
        <v>#DIV/0!</v>
      </c>
    </row>
    <row r="49" spans="1:7" ht="12.75">
      <c r="A49" s="11" t="s">
        <v>42</v>
      </c>
      <c r="B49" s="13"/>
      <c r="C49" s="13">
        <v>56161</v>
      </c>
      <c r="D49" s="13"/>
      <c r="E49" s="13">
        <v>0</v>
      </c>
      <c r="F49" s="44" t="e">
        <f t="shared" si="1"/>
        <v>#DIV/0!</v>
      </c>
      <c r="G49" s="82" t="e">
        <f t="shared" si="2"/>
        <v>#DIV/0!</v>
      </c>
    </row>
    <row r="50" spans="1:7" ht="12.75">
      <c r="A50" s="11" t="s">
        <v>43</v>
      </c>
      <c r="B50" s="13"/>
      <c r="C50" s="13">
        <v>56161</v>
      </c>
      <c r="D50" s="13"/>
      <c r="E50" s="13"/>
      <c r="F50" s="44" t="e">
        <f t="shared" si="1"/>
        <v>#DIV/0!</v>
      </c>
      <c r="G50" s="82" t="e">
        <f t="shared" si="2"/>
        <v>#DIV/0!</v>
      </c>
    </row>
    <row r="51" spans="1:7" ht="12.75">
      <c r="A51" s="11" t="s">
        <v>44</v>
      </c>
      <c r="B51" s="13"/>
      <c r="C51" s="13"/>
      <c r="D51" s="13"/>
      <c r="E51" s="13"/>
      <c r="F51" s="44" t="e">
        <f t="shared" si="1"/>
        <v>#DIV/0!</v>
      </c>
      <c r="G51" s="82" t="e">
        <f t="shared" si="2"/>
        <v>#DIV/0!</v>
      </c>
    </row>
    <row r="52" spans="1:7" ht="12.75">
      <c r="A52" s="11" t="s">
        <v>45</v>
      </c>
      <c r="B52" s="13"/>
      <c r="C52" s="13"/>
      <c r="D52" s="13"/>
      <c r="E52" s="13"/>
      <c r="F52" s="44" t="e">
        <f t="shared" si="1"/>
        <v>#DIV/0!</v>
      </c>
      <c r="G52" s="82" t="e">
        <f t="shared" si="2"/>
        <v>#DIV/0!</v>
      </c>
    </row>
    <row r="53" spans="1:7" ht="13.5" thickBot="1">
      <c r="A53" s="73" t="s">
        <v>46</v>
      </c>
      <c r="B53" s="74"/>
      <c r="C53" s="74"/>
      <c r="D53" s="74"/>
      <c r="E53" s="74"/>
      <c r="F53" s="83" t="e">
        <f t="shared" si="1"/>
        <v>#DIV/0!</v>
      </c>
      <c r="G53" s="84" t="e">
        <f t="shared" si="2"/>
        <v>#DIV/0!</v>
      </c>
    </row>
    <row r="54" spans="1:7" ht="12.75">
      <c r="A54" s="11" t="s">
        <v>47</v>
      </c>
      <c r="B54" s="13"/>
      <c r="C54" s="13"/>
      <c r="D54" s="13"/>
      <c r="E54" s="13"/>
      <c r="F54" s="44" t="e">
        <f t="shared" si="1"/>
        <v>#DIV/0!</v>
      </c>
      <c r="G54" s="12" t="e">
        <f t="shared" si="2"/>
        <v>#DIV/0!</v>
      </c>
    </row>
    <row r="55" spans="1:7" ht="12.75" hidden="1">
      <c r="A55" s="11" t="s">
        <v>69</v>
      </c>
      <c r="B55" s="13"/>
      <c r="C55" s="13"/>
      <c r="D55" s="25"/>
      <c r="E55" s="13"/>
      <c r="F55" s="44"/>
      <c r="G55" s="12" t="e">
        <f t="shared" si="2"/>
        <v>#DIV/0!</v>
      </c>
    </row>
    <row r="56" spans="1:7" ht="12.75">
      <c r="A56" s="11" t="s">
        <v>48</v>
      </c>
      <c r="B56" s="13" t="e">
        <f>B55/B54/9*1000</f>
        <v>#DIV/0!</v>
      </c>
      <c r="C56" s="13" t="e">
        <f>C38/C54/12*1000</f>
        <v>#DIV/0!</v>
      </c>
      <c r="D56" s="13" t="e">
        <f>D38/D54/12*1000</f>
        <v>#DIV/0!</v>
      </c>
      <c r="E56" s="13" t="e">
        <f>E38/E54/12*1000</f>
        <v>#DIV/0!</v>
      </c>
      <c r="F56" s="44" t="e">
        <f>E56/D56*100</f>
        <v>#DIV/0!</v>
      </c>
      <c r="G56" s="12"/>
    </row>
    <row r="57" spans="1:8" ht="13.5" thickBot="1">
      <c r="A57" s="7" t="s">
        <v>49</v>
      </c>
      <c r="B57" s="14" t="e">
        <f>B43/B54*1000</f>
        <v>#DIV/0!</v>
      </c>
      <c r="C57" s="14" t="e">
        <f>C43/C54*1000</f>
        <v>#DIV/0!</v>
      </c>
      <c r="D57" s="14" t="e">
        <f>D43/D54*1000</f>
        <v>#DIV/0!</v>
      </c>
      <c r="E57" s="14" t="e">
        <f>E43/E54*1000</f>
        <v>#DIV/0!</v>
      </c>
      <c r="F57" s="83" t="e">
        <f>E57/D57*100</f>
        <v>#DIV/0!</v>
      </c>
      <c r="G57" s="84"/>
      <c r="H57" s="34"/>
    </row>
    <row r="58" ht="12.75">
      <c r="A58" s="2" t="s">
        <v>76</v>
      </c>
    </row>
    <row r="59" ht="12.75">
      <c r="A59" s="111"/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J16" sqref="J16"/>
    </sheetView>
  </sheetViews>
  <sheetFormatPr defaultColWidth="9.125" defaultRowHeight="12.75"/>
  <cols>
    <col min="1" max="1" width="33.125" style="2" customWidth="1"/>
    <col min="2" max="2" width="10.375" style="69" customWidth="1"/>
    <col min="3" max="3" width="9.625" style="2" customWidth="1"/>
    <col min="4" max="4" width="9.75390625" style="2" customWidth="1"/>
    <col min="5" max="5" width="10.875" style="2" customWidth="1"/>
    <col min="6" max="6" width="8.00390625" style="2" customWidth="1"/>
    <col min="7" max="16384" width="9.125" style="2" customWidth="1"/>
  </cols>
  <sheetData>
    <row r="1" spans="1:2" ht="12.75">
      <c r="A1" s="1" t="s">
        <v>58</v>
      </c>
      <c r="B1" s="68"/>
    </row>
    <row r="2" ht="12.75">
      <c r="A2" s="2" t="s">
        <v>68</v>
      </c>
    </row>
    <row r="3" spans="1:7" ht="13.5" thickBot="1">
      <c r="A3" s="2" t="s">
        <v>77</v>
      </c>
      <c r="E3" s="3"/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22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7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42" t="s">
        <v>70</v>
      </c>
      <c r="G7" s="23" t="s">
        <v>71</v>
      </c>
    </row>
    <row r="8" spans="1:7" ht="12.75">
      <c r="A8" s="9" t="s">
        <v>9</v>
      </c>
      <c r="B8" s="10">
        <f>B10+B12+B13+B14+B15+B16+B17+B18+B19+B20+B21+B22+B23+B25</f>
        <v>618340</v>
      </c>
      <c r="C8" s="10">
        <f>C10+C12+C13+C14+C15+C16+C17+C18+C19+C20+C21+C22+C23+C25</f>
        <v>903201</v>
      </c>
      <c r="D8" s="10">
        <f>SUM(MF:R!D8)</f>
        <v>920223</v>
      </c>
      <c r="E8" s="10">
        <f>E10+E12+E13+E14+E15+E16+E17+E18+E19+E20+E21+E22+E23+E24+E25</f>
        <v>2456412</v>
      </c>
      <c r="F8" s="43">
        <f>E8/D8*100</f>
        <v>266.93660123687414</v>
      </c>
      <c r="G8" s="93">
        <f>E8/B8*100</f>
        <v>397.2591131092926</v>
      </c>
    </row>
    <row r="9" spans="1:7" ht="12.75">
      <c r="A9" s="11" t="s">
        <v>10</v>
      </c>
      <c r="B9" s="13"/>
      <c r="C9" s="13"/>
      <c r="D9" s="13"/>
      <c r="E9" s="13"/>
      <c r="F9" s="44"/>
      <c r="G9" s="89"/>
    </row>
    <row r="10" spans="1:7" ht="12.75">
      <c r="A10" s="11" t="s">
        <v>11</v>
      </c>
      <c r="B10" s="13">
        <f>SUM(MF:R!B10)</f>
        <v>0</v>
      </c>
      <c r="C10" s="13">
        <f>SUM(MF:R!C10)</f>
        <v>0</v>
      </c>
      <c r="D10" s="13">
        <f>SUM(MF:R!D10)</f>
        <v>0</v>
      </c>
      <c r="E10" s="13">
        <f>SUM(MF:R!E10)</f>
        <v>0</v>
      </c>
      <c r="F10" s="44"/>
      <c r="G10" s="89"/>
    </row>
    <row r="11" spans="1:7" ht="12.75">
      <c r="A11" s="11" t="s">
        <v>12</v>
      </c>
      <c r="B11" s="13">
        <f>SUM(MF:R!B11)</f>
        <v>0</v>
      </c>
      <c r="C11" s="13">
        <f>SUM(MF:R!C11)</f>
        <v>0</v>
      </c>
      <c r="D11" s="13">
        <f>SUM(MF:R!D11)</f>
        <v>0</v>
      </c>
      <c r="E11" s="13">
        <f>SUM(MF:R!E11)</f>
        <v>0</v>
      </c>
      <c r="F11" s="44"/>
      <c r="G11" s="89"/>
    </row>
    <row r="12" spans="1:7" ht="12.75">
      <c r="A12" s="11" t="s">
        <v>13</v>
      </c>
      <c r="B12" s="13">
        <f>SUM(MF:R!B12)</f>
        <v>6582</v>
      </c>
      <c r="C12" s="13">
        <f>SUM(MF:R!C12)</f>
        <v>690338</v>
      </c>
      <c r="D12" s="13">
        <f>SUM(MF:R!D12)</f>
        <v>689555</v>
      </c>
      <c r="E12" s="13">
        <f>SUM(MF:R!E12)</f>
        <v>7966</v>
      </c>
      <c r="F12" s="44">
        <f>E12/D12*100</f>
        <v>1.1552377982902016</v>
      </c>
      <c r="G12" s="89">
        <f>E12/B12*100</f>
        <v>121.02704345183835</v>
      </c>
    </row>
    <row r="13" spans="1:7" ht="12.75">
      <c r="A13" s="101" t="s">
        <v>59</v>
      </c>
      <c r="B13" s="13"/>
      <c r="C13" s="13"/>
      <c r="D13" s="13">
        <f>SUM(MF:R!D13)</f>
        <v>0</v>
      </c>
      <c r="E13" s="13"/>
      <c r="F13" s="44"/>
      <c r="G13" s="89"/>
    </row>
    <row r="14" spans="1:7" ht="12.75">
      <c r="A14" s="11" t="s">
        <v>14</v>
      </c>
      <c r="B14" s="13">
        <f>SUM(MF:R!B14)</f>
        <v>13478</v>
      </c>
      <c r="C14" s="13">
        <f>SUM(MF:R!C14)</f>
        <v>22084</v>
      </c>
      <c r="D14" s="13">
        <f>SUM(MF:R!D14)</f>
        <v>22867</v>
      </c>
      <c r="E14" s="13">
        <f>SUM(MF:R!E14)</f>
        <v>19964</v>
      </c>
      <c r="F14" s="44">
        <f>E14/D14*100</f>
        <v>87.30484978353084</v>
      </c>
      <c r="G14" s="89">
        <f>E14/B14*100</f>
        <v>148.12286689419795</v>
      </c>
    </row>
    <row r="15" spans="1:7" ht="12.75">
      <c r="A15" s="11" t="s">
        <v>15</v>
      </c>
      <c r="B15" s="13">
        <f>SUM(MF:R!B15)</f>
        <v>1626</v>
      </c>
      <c r="C15" s="13">
        <f>SUM(MF:R!C15)</f>
        <v>1400</v>
      </c>
      <c r="D15" s="13">
        <f>SUM(MF:R!D15)</f>
        <v>1400</v>
      </c>
      <c r="E15" s="13">
        <f>SUM(MF:R!E15)</f>
        <v>135814</v>
      </c>
      <c r="F15" s="44">
        <f>E15/D15*100</f>
        <v>9701</v>
      </c>
      <c r="G15" s="89">
        <f>E15/B15*100</f>
        <v>8352.644526445265</v>
      </c>
    </row>
    <row r="16" spans="1:7" ht="12.75">
      <c r="A16" s="11" t="s">
        <v>16</v>
      </c>
      <c r="B16" s="25">
        <f>SUM(MF:R!B16)</f>
        <v>361</v>
      </c>
      <c r="C16" s="13">
        <f>SUM(MF:R!C16)</f>
        <v>0</v>
      </c>
      <c r="D16" s="13">
        <f>SUM(MF:R!D16)</f>
        <v>0</v>
      </c>
      <c r="E16" s="25">
        <f>SUM(MF:R!E16)</f>
        <v>15830</v>
      </c>
      <c r="F16" s="44"/>
      <c r="G16" s="89">
        <f>E16/B16*100</f>
        <v>4385.041551246538</v>
      </c>
    </row>
    <row r="17" spans="1:7" ht="12.75">
      <c r="A17" s="11" t="s">
        <v>17</v>
      </c>
      <c r="B17" s="25">
        <f>SUM(MF:R!B17)</f>
        <v>0</v>
      </c>
      <c r="C17" s="13">
        <f>SUM(MF:R!C17)</f>
        <v>5</v>
      </c>
      <c r="D17" s="13">
        <f>SUM(MF:R!D17)</f>
        <v>5</v>
      </c>
      <c r="E17" s="25">
        <f>SUM(MF:R!E17)</f>
        <v>4</v>
      </c>
      <c r="F17" s="44">
        <f>E17/D17*100</f>
        <v>80</v>
      </c>
      <c r="G17" s="89"/>
    </row>
    <row r="18" spans="1:7" ht="12.75">
      <c r="A18" s="11" t="s">
        <v>18</v>
      </c>
      <c r="B18" s="13">
        <f>SUM(MF:R!B18)</f>
        <v>14516</v>
      </c>
      <c r="C18" s="13">
        <f>SUM(MF:R!C18)</f>
        <v>1366</v>
      </c>
      <c r="D18" s="13">
        <f>SUM(MF:R!D18)</f>
        <v>1366</v>
      </c>
      <c r="E18" s="13">
        <f>SUM(MF:R!E18)</f>
        <v>210109</v>
      </c>
      <c r="F18" s="44">
        <f>E18/D18*100</f>
        <v>15381.332357247438</v>
      </c>
      <c r="G18" s="89">
        <f>E18/B18*100</f>
        <v>1447.4304216037476</v>
      </c>
    </row>
    <row r="19" spans="1:7" ht="12.75">
      <c r="A19" s="102" t="s">
        <v>60</v>
      </c>
      <c r="B19" s="13"/>
      <c r="C19" s="13"/>
      <c r="D19" s="13">
        <f>SUM(MF:R!D19)</f>
        <v>0</v>
      </c>
      <c r="E19" s="13">
        <f>SUM(MF:R!E19)</f>
        <v>1300778</v>
      </c>
      <c r="F19" s="44"/>
      <c r="G19" s="89"/>
    </row>
    <row r="20" spans="1:7" ht="12.75">
      <c r="A20" s="11" t="s">
        <v>19</v>
      </c>
      <c r="B20" s="13">
        <f>SUM(MF:R!B20)</f>
        <v>10608</v>
      </c>
      <c r="C20" s="13">
        <f>SUM(MF:R!C20)</f>
        <v>80000</v>
      </c>
      <c r="D20" s="13">
        <f>SUM(MF:R!D20)</f>
        <v>80000</v>
      </c>
      <c r="E20" s="13">
        <f>SUM(MF:R!E20)</f>
        <v>119182</v>
      </c>
      <c r="F20" s="44">
        <f>E20/D20*100</f>
        <v>148.97750000000002</v>
      </c>
      <c r="G20" s="89">
        <f>E20/B20*100</f>
        <v>1123.5105580693817</v>
      </c>
    </row>
    <row r="21" spans="1:7" ht="12.75">
      <c r="A21" s="102" t="s">
        <v>61</v>
      </c>
      <c r="B21" s="13"/>
      <c r="C21" s="13"/>
      <c r="D21" s="13">
        <f>SUM(MF:R!D21)</f>
        <v>0</v>
      </c>
      <c r="E21" s="13">
        <f>SUM(MF:R!E21)</f>
        <v>0</v>
      </c>
      <c r="F21" s="44"/>
      <c r="G21" s="89"/>
    </row>
    <row r="22" spans="1:7" ht="12.75" customHeight="1">
      <c r="A22" s="11" t="s">
        <v>20</v>
      </c>
      <c r="B22" s="13">
        <f>SUM(MF:R!B22)</f>
        <v>0</v>
      </c>
      <c r="C22" s="13">
        <f>SUM(MF:R!C22)</f>
        <v>0</v>
      </c>
      <c r="D22" s="13">
        <f>SUM(MF:R!D22)</f>
        <v>0</v>
      </c>
      <c r="E22" s="13">
        <f>SUM(MF:R!E22)</f>
        <v>0</v>
      </c>
      <c r="F22" s="44"/>
      <c r="G22" s="89"/>
    </row>
    <row r="23" spans="1:7" ht="12.75" customHeight="1">
      <c r="A23" s="11" t="s">
        <v>63</v>
      </c>
      <c r="B23" s="13">
        <f>SUM(MF:R!B23)</f>
        <v>276</v>
      </c>
      <c r="C23" s="13">
        <f>SUM(MF:R!C23)</f>
        <v>108008</v>
      </c>
      <c r="D23" s="13">
        <f>SUM(MF:R!D23)</f>
        <v>125030</v>
      </c>
      <c r="E23" s="13">
        <f>SUM(MF:R!E23)</f>
        <v>6936</v>
      </c>
      <c r="F23" s="44">
        <f>E23/D23*100</f>
        <v>5.547468607534191</v>
      </c>
      <c r="G23" s="89">
        <f>E23/B23*100</f>
        <v>2513.0434782608695</v>
      </c>
    </row>
    <row r="24" spans="1:7" ht="12.75" customHeight="1">
      <c r="A24" s="109" t="s">
        <v>64</v>
      </c>
      <c r="B24" s="13"/>
      <c r="C24" s="13"/>
      <c r="D24" s="110">
        <f>SUM(MF:R!D24)</f>
        <v>0</v>
      </c>
      <c r="E24" s="13">
        <f>SUM(MF:R!E24)</f>
        <v>0</v>
      </c>
      <c r="F24" s="44" t="e">
        <f>E24/D24*100</f>
        <v>#DIV/0!</v>
      </c>
      <c r="G24" s="89"/>
    </row>
    <row r="25" spans="1:7" ht="13.5" thickBot="1">
      <c r="A25" s="7" t="s">
        <v>21</v>
      </c>
      <c r="B25" s="14">
        <f>SUM(MF:R!B25)</f>
        <v>570893</v>
      </c>
      <c r="C25" s="14">
        <f>SUM(MF:R!C25)</f>
        <v>0</v>
      </c>
      <c r="D25" s="14">
        <f>SUM(MF:R!D25)</f>
        <v>0</v>
      </c>
      <c r="E25" s="14">
        <f>SUM(MF:R!E25)</f>
        <v>639829</v>
      </c>
      <c r="F25" s="83" t="e">
        <f>E25/D25*100</f>
        <v>#DIV/0!</v>
      </c>
      <c r="G25" s="92">
        <f>E25/B25*100</f>
        <v>112.0751174037867</v>
      </c>
    </row>
    <row r="26" spans="1:7" ht="12.75">
      <c r="A26" s="5"/>
      <c r="B26" s="15"/>
      <c r="C26" s="15"/>
      <c r="D26" s="15"/>
      <c r="E26" s="15"/>
      <c r="F26" s="45"/>
      <c r="G26" s="91"/>
    </row>
    <row r="27" spans="1:7" ht="12.75">
      <c r="A27" s="9" t="s">
        <v>22</v>
      </c>
      <c r="B27" s="10">
        <f>B29+B35</f>
        <v>2445844.19</v>
      </c>
      <c r="C27" s="10">
        <f>C29+C35</f>
        <v>3241484</v>
      </c>
      <c r="D27" s="10">
        <f>D29+D35</f>
        <v>3305192</v>
      </c>
      <c r="E27" s="10">
        <f>E29+E35</f>
        <v>2911332</v>
      </c>
      <c r="F27" s="43">
        <f>E27/D27*100</f>
        <v>88.08359695896638</v>
      </c>
      <c r="G27" s="93">
        <f>E27/B27*100</f>
        <v>119.03178509502685</v>
      </c>
    </row>
    <row r="28" spans="1:7" ht="12.75">
      <c r="A28" s="11" t="s">
        <v>23</v>
      </c>
      <c r="B28" s="13"/>
      <c r="C28" s="13"/>
      <c r="D28" s="13"/>
      <c r="E28" s="13"/>
      <c r="F28" s="44"/>
      <c r="G28" s="89"/>
    </row>
    <row r="29" spans="1:7" ht="12.75">
      <c r="A29" s="9" t="s">
        <v>24</v>
      </c>
      <c r="B29" s="10">
        <f>B31+B32+B33</f>
        <v>568763</v>
      </c>
      <c r="C29" s="78">
        <f>C31+C32+C33</f>
        <v>820924</v>
      </c>
      <c r="D29" s="78">
        <f>D31+D32+D33</f>
        <v>724664</v>
      </c>
      <c r="E29" s="78">
        <f>E31+E32+E33</f>
        <v>557396</v>
      </c>
      <c r="F29" s="43">
        <f>E29/D29*100</f>
        <v>76.91785434353025</v>
      </c>
      <c r="G29" s="93">
        <f>E29/B29*100</f>
        <v>98.00145227449745</v>
      </c>
    </row>
    <row r="30" spans="1:7" ht="12.75">
      <c r="A30" s="11" t="s">
        <v>25</v>
      </c>
      <c r="B30" s="13"/>
      <c r="C30" s="13"/>
      <c r="D30" s="13"/>
      <c r="E30" s="13"/>
      <c r="F30" s="44"/>
      <c r="G30" s="89"/>
    </row>
    <row r="31" spans="1:7" ht="12.75">
      <c r="A31" s="11" t="s">
        <v>26</v>
      </c>
      <c r="B31" s="13">
        <f>SUM(MF:R!B31)</f>
        <v>468303</v>
      </c>
      <c r="C31" s="13">
        <f>SUM(MF:R!C31)</f>
        <v>461957</v>
      </c>
      <c r="D31" s="13">
        <f>SUM(MF:R!D31)</f>
        <v>552941</v>
      </c>
      <c r="E31" s="13">
        <f>SUM(MF:R!E31)</f>
        <v>416405</v>
      </c>
      <c r="F31" s="44">
        <f>E31/D31*100</f>
        <v>75.30731126829083</v>
      </c>
      <c r="G31" s="89">
        <f>E31/B31*100</f>
        <v>88.91785873675803</v>
      </c>
    </row>
    <row r="32" spans="1:7" ht="12.75">
      <c r="A32" s="11" t="s">
        <v>27</v>
      </c>
      <c r="B32" s="13">
        <f>SUM(MF:R!B32)</f>
        <v>100460</v>
      </c>
      <c r="C32" s="13">
        <f>SUM(MF:R!C32)</f>
        <v>358967</v>
      </c>
      <c r="D32" s="13">
        <f>SUM(MF:R!D32)</f>
        <v>171723</v>
      </c>
      <c r="E32" s="13">
        <f>SUM(MF:R!E32)</f>
        <v>140991</v>
      </c>
      <c r="F32" s="44">
        <f>E32/D32*100</f>
        <v>82.10373683199106</v>
      </c>
      <c r="G32" s="89">
        <f>E32/B32*100</f>
        <v>140.34541110889907</v>
      </c>
    </row>
    <row r="33" spans="1:7" ht="12.75">
      <c r="A33" s="16" t="s">
        <v>28</v>
      </c>
      <c r="B33" s="17">
        <f>SUM(MF:R!B33)</f>
        <v>0</v>
      </c>
      <c r="C33" s="17">
        <f>SUM(MF:R!C33)</f>
        <v>0</v>
      </c>
      <c r="D33" s="17">
        <f>SUM(MF:R!D33)</f>
        <v>0</v>
      </c>
      <c r="E33" s="17">
        <f>SUM(MF:R!E33)</f>
        <v>0</v>
      </c>
      <c r="F33" s="46"/>
      <c r="G33" s="88"/>
    </row>
    <row r="34" spans="1:7" ht="12.75">
      <c r="A34" s="5"/>
      <c r="B34" s="15"/>
      <c r="C34" s="15"/>
      <c r="D34" s="15"/>
      <c r="E34" s="15"/>
      <c r="F34" s="45"/>
      <c r="G34" s="91"/>
    </row>
    <row r="35" spans="1:7" ht="12.75">
      <c r="A35" s="9" t="s">
        <v>29</v>
      </c>
      <c r="B35" s="10">
        <f>B37+B40+B41+B42+B43</f>
        <v>1877081.19</v>
      </c>
      <c r="C35" s="10">
        <f>C37+C40+C41+C42+C43</f>
        <v>2420560</v>
      </c>
      <c r="D35" s="10">
        <f>D37+D40+D41+D42+D43</f>
        <v>2580528</v>
      </c>
      <c r="E35" s="10">
        <f>E37+E40+E41+E42+E43</f>
        <v>2353936</v>
      </c>
      <c r="F35" s="43">
        <f>E35/D35*100</f>
        <v>91.21916134992529</v>
      </c>
      <c r="G35" s="93">
        <f>E35/B35*100</f>
        <v>125.40405884094976</v>
      </c>
    </row>
    <row r="36" spans="1:7" ht="12.75">
      <c r="A36" s="11" t="s">
        <v>25</v>
      </c>
      <c r="B36" s="13"/>
      <c r="C36" s="13"/>
      <c r="D36" s="13"/>
      <c r="E36" s="13"/>
      <c r="F36" s="44"/>
      <c r="G36" s="89"/>
    </row>
    <row r="37" spans="1:7" ht="12.75">
      <c r="A37" s="18" t="s">
        <v>30</v>
      </c>
      <c r="B37" s="19">
        <f>B38+B39</f>
        <v>580550</v>
      </c>
      <c r="C37" s="19">
        <f>C38+C39</f>
        <v>643945</v>
      </c>
      <c r="D37" s="19">
        <f>D38+D39</f>
        <v>652405</v>
      </c>
      <c r="E37" s="19">
        <f>E38+E39</f>
        <v>649002</v>
      </c>
      <c r="F37" s="47">
        <f>E37/D37*100</f>
        <v>99.47839148994872</v>
      </c>
      <c r="G37" s="94">
        <f aca="true" t="shared" si="0" ref="G37:G43">E37/B37*100</f>
        <v>111.79088795108088</v>
      </c>
    </row>
    <row r="38" spans="1:7" ht="12.75">
      <c r="A38" s="11" t="s">
        <v>31</v>
      </c>
      <c r="B38" s="13">
        <f>SUM(MF:R!B38)</f>
        <v>561768</v>
      </c>
      <c r="C38" s="13">
        <f>SUM(MF:R!C38)</f>
        <v>624907</v>
      </c>
      <c r="D38" s="13">
        <f>SUM(MF:R!D38)</f>
        <v>632658</v>
      </c>
      <c r="E38" s="13">
        <f>SUM(MF:R!E38)</f>
        <v>630127</v>
      </c>
      <c r="F38" s="44">
        <f>E38/D38*100</f>
        <v>99.59994183271215</v>
      </c>
      <c r="G38" s="89">
        <f t="shared" si="0"/>
        <v>112.16854644621978</v>
      </c>
    </row>
    <row r="39" spans="1:7" ht="12.75">
      <c r="A39" s="77" t="s">
        <v>32</v>
      </c>
      <c r="B39" s="13">
        <f>SUM(MF:R!B39)</f>
        <v>18782</v>
      </c>
      <c r="C39" s="13">
        <f>SUM(MF:R!C39)</f>
        <v>19038</v>
      </c>
      <c r="D39" s="13">
        <f>SUM(MF:R!D39)</f>
        <v>19747</v>
      </c>
      <c r="E39" s="13">
        <f>SUM(MF:R!E39)</f>
        <v>18875</v>
      </c>
      <c r="F39" s="44">
        <f>E39/D39*100</f>
        <v>95.58413936294122</v>
      </c>
      <c r="G39" s="89">
        <f t="shared" si="0"/>
        <v>100.49515493557661</v>
      </c>
    </row>
    <row r="40" spans="1:10" ht="12.75">
      <c r="A40" s="26" t="s">
        <v>33</v>
      </c>
      <c r="B40" s="27">
        <f>SUM(MF:R!B40)</f>
        <v>201126</v>
      </c>
      <c r="C40" s="27">
        <f>SUM(MF:R!C40)</f>
        <v>225377</v>
      </c>
      <c r="D40" s="27">
        <f>SUM(MF:R!D40)</f>
        <v>228352</v>
      </c>
      <c r="E40" s="27">
        <f>SUM(MF:R!E40)</f>
        <v>224360</v>
      </c>
      <c r="F40" s="47">
        <f>E40/D40*100</f>
        <v>98.25182174887892</v>
      </c>
      <c r="G40" s="94">
        <f t="shared" si="0"/>
        <v>111.55196245139862</v>
      </c>
      <c r="J40" s="2" t="s">
        <v>56</v>
      </c>
    </row>
    <row r="41" spans="1:7" ht="12.75">
      <c r="A41" s="26" t="s">
        <v>34</v>
      </c>
      <c r="B41" s="27">
        <f>SUM(MF:R!B41)</f>
        <v>11227</v>
      </c>
      <c r="C41" s="27">
        <f>SUM(MF:R!C41)</f>
        <v>12500</v>
      </c>
      <c r="D41" s="27">
        <f>SUM(MF:R!D41)</f>
        <v>12627</v>
      </c>
      <c r="E41" s="27">
        <f>SUM(MF:R!E41)</f>
        <v>12613</v>
      </c>
      <c r="F41" s="47">
        <f>E41/D41*100</f>
        <v>99.88912647501385</v>
      </c>
      <c r="G41" s="94">
        <f t="shared" si="0"/>
        <v>112.34523915560702</v>
      </c>
    </row>
    <row r="42" spans="1:7" ht="12.75">
      <c r="A42" s="18" t="s">
        <v>35</v>
      </c>
      <c r="B42" s="48">
        <f>SUM(MF:R!B42)</f>
        <v>0</v>
      </c>
      <c r="C42" s="19">
        <f>SUM(MF:R!C42)</f>
        <v>0</v>
      </c>
      <c r="D42" s="48">
        <f>SUM(MF:R!D42)</f>
        <v>0</v>
      </c>
      <c r="E42" s="48">
        <f>SUM(MF:R!E42)</f>
        <v>0</v>
      </c>
      <c r="F42" s="44"/>
      <c r="G42" s="89" t="e">
        <f t="shared" si="0"/>
        <v>#DIV/0!</v>
      </c>
    </row>
    <row r="43" spans="1:7" ht="12.75">
      <c r="A43" s="18" t="s">
        <v>36</v>
      </c>
      <c r="B43" s="19">
        <f>B45+B46+B47+B49+B53</f>
        <v>1084178.19</v>
      </c>
      <c r="C43" s="19">
        <f>C45+C46+C47+C49+C53</f>
        <v>1538738</v>
      </c>
      <c r="D43" s="19">
        <f>D45+D46+D47+D49+D53</f>
        <v>1687144</v>
      </c>
      <c r="E43" s="19">
        <f>E45+E46+E47+E49+E53</f>
        <v>1467961</v>
      </c>
      <c r="F43" s="47">
        <f>E43/D43*100</f>
        <v>87.00863708136353</v>
      </c>
      <c r="G43" s="94">
        <f t="shared" si="0"/>
        <v>135.39849939242922</v>
      </c>
    </row>
    <row r="44" spans="1:7" ht="12.75">
      <c r="A44" s="11" t="s">
        <v>37</v>
      </c>
      <c r="B44" s="13"/>
      <c r="C44" s="13"/>
      <c r="D44" s="13"/>
      <c r="E44" s="13"/>
      <c r="F44" s="44"/>
      <c r="G44" s="89"/>
    </row>
    <row r="45" spans="1:7" ht="12.75">
      <c r="A45" s="11" t="s">
        <v>38</v>
      </c>
      <c r="B45" s="13">
        <f>SUM(MF:R!B45)</f>
        <v>30293</v>
      </c>
      <c r="C45" s="13">
        <f>SUM(MF:R!C45)</f>
        <v>38594</v>
      </c>
      <c r="D45" s="13">
        <f>SUM(MF:R!D45)</f>
        <v>40078</v>
      </c>
      <c r="E45" s="13">
        <f>SUM(MF:R!E45)</f>
        <v>33134</v>
      </c>
      <c r="F45" s="44">
        <f aca="true" t="shared" si="1" ref="F45:F54">E45/D45*100</f>
        <v>82.67378611707171</v>
      </c>
      <c r="G45" s="89">
        <f aca="true" t="shared" si="2" ref="G45:G57">E45/B45*100</f>
        <v>109.37840425180734</v>
      </c>
    </row>
    <row r="46" spans="1:7" ht="12.75">
      <c r="A46" s="11" t="s">
        <v>39</v>
      </c>
      <c r="B46" s="13">
        <f>SUM(MF:R!B46)</f>
        <v>24487.190000000002</v>
      </c>
      <c r="C46" s="13">
        <f>SUM(MF:R!C46)</f>
        <v>65343</v>
      </c>
      <c r="D46" s="13">
        <f>SUM(MF:R!D46)</f>
        <v>44873</v>
      </c>
      <c r="E46" s="13">
        <f>SUM(MF:R!E46)</f>
        <v>35799</v>
      </c>
      <c r="F46" s="44">
        <f t="shared" si="1"/>
        <v>79.77848594923451</v>
      </c>
      <c r="G46" s="89">
        <f t="shared" si="2"/>
        <v>146.19480634568524</v>
      </c>
    </row>
    <row r="47" spans="1:7" ht="12.75">
      <c r="A47" s="11" t="s">
        <v>40</v>
      </c>
      <c r="B47" s="13">
        <f>SUM(MF:R!B47)</f>
        <v>648118</v>
      </c>
      <c r="C47" s="13">
        <f>SUM(MF:R!C47)</f>
        <v>1016920</v>
      </c>
      <c r="D47" s="13">
        <f>SUM(MF:R!D47)</f>
        <v>1189803</v>
      </c>
      <c r="E47" s="13">
        <f>SUM(MF:R!E47)</f>
        <v>1034303</v>
      </c>
      <c r="F47" s="44">
        <f t="shared" si="1"/>
        <v>86.93060952107197</v>
      </c>
      <c r="G47" s="89">
        <f t="shared" si="2"/>
        <v>159.58560015305855</v>
      </c>
    </row>
    <row r="48" spans="1:7" ht="12.75">
      <c r="A48" s="11" t="s">
        <v>41</v>
      </c>
      <c r="B48" s="13">
        <f>SUM(MF:R!B48)</f>
        <v>7880</v>
      </c>
      <c r="C48" s="13">
        <f>SUM(MF:R!C48)</f>
        <v>32053</v>
      </c>
      <c r="D48" s="13">
        <f>SUM(MF:R!D48)</f>
        <v>11796</v>
      </c>
      <c r="E48" s="13">
        <f>SUM(MF:R!E48)</f>
        <v>8932</v>
      </c>
      <c r="F48" s="44">
        <f t="shared" si="1"/>
        <v>75.72058324855884</v>
      </c>
      <c r="G48" s="89">
        <f t="shared" si="2"/>
        <v>113.3502538071066</v>
      </c>
    </row>
    <row r="49" spans="1:7" ht="12.75">
      <c r="A49" s="11" t="s">
        <v>42</v>
      </c>
      <c r="B49" s="13">
        <f>SUM(MF:R!B49)</f>
        <v>341325</v>
      </c>
      <c r="C49" s="13">
        <f>SUM(MF:R!C49)</f>
        <v>400547</v>
      </c>
      <c r="D49" s="13">
        <f>SUM(MF:R!D49)</f>
        <v>216964</v>
      </c>
      <c r="E49" s="13">
        <f>SUM(MF:R!E49)</f>
        <v>193371</v>
      </c>
      <c r="F49" s="44">
        <f t="shared" si="1"/>
        <v>89.12584576243063</v>
      </c>
      <c r="G49" s="89">
        <f t="shared" si="2"/>
        <v>56.65304328718963</v>
      </c>
    </row>
    <row r="50" spans="1:7" ht="12.75">
      <c r="A50" s="11" t="s">
        <v>43</v>
      </c>
      <c r="B50" s="13">
        <f>SUM(MF:R!B50)</f>
        <v>299366</v>
      </c>
      <c r="C50" s="13">
        <f>SUM(MF:R!C50)</f>
        <v>314404</v>
      </c>
      <c r="D50" s="13">
        <f>SUM(MF:R!D50)</f>
        <v>115361</v>
      </c>
      <c r="E50" s="13">
        <f>SUM(MF:R!E50)</f>
        <v>110689</v>
      </c>
      <c r="F50" s="44">
        <f t="shared" si="1"/>
        <v>95.95010445471172</v>
      </c>
      <c r="G50" s="89">
        <f t="shared" si="2"/>
        <v>36.974472719012844</v>
      </c>
    </row>
    <row r="51" spans="1:7" ht="12.75">
      <c r="A51" s="11" t="s">
        <v>44</v>
      </c>
      <c r="B51" s="13">
        <f>SUM(MF:R!B51)</f>
        <v>7190</v>
      </c>
      <c r="C51" s="13">
        <f>SUM(MF:R!C51)</f>
        <v>25016</v>
      </c>
      <c r="D51" s="13">
        <f>SUM(MF:R!D51)</f>
        <v>43984</v>
      </c>
      <c r="E51" s="13">
        <f>SUM(MF:R!E51)</f>
        <v>44025</v>
      </c>
      <c r="F51" s="44">
        <f t="shared" si="1"/>
        <v>100.09321571480538</v>
      </c>
      <c r="G51" s="89">
        <f t="shared" si="2"/>
        <v>612.3087621696801</v>
      </c>
    </row>
    <row r="52" spans="1:7" ht="12.75">
      <c r="A52" s="11" t="s">
        <v>45</v>
      </c>
      <c r="B52" s="13">
        <f>SUM(MF:R!B52)</f>
        <v>27032</v>
      </c>
      <c r="C52" s="13">
        <f>SUM(MF:R!C52)</f>
        <v>51993</v>
      </c>
      <c r="D52" s="13">
        <f>SUM(MF:R!D52)</f>
        <v>51596</v>
      </c>
      <c r="E52" s="13">
        <f>SUM(MF:R!E52)</f>
        <v>34479</v>
      </c>
      <c r="F52" s="44">
        <f t="shared" si="1"/>
        <v>66.82494767036205</v>
      </c>
      <c r="G52" s="89">
        <f t="shared" si="2"/>
        <v>127.54883101509323</v>
      </c>
    </row>
    <row r="53" spans="1:7" ht="13.5" thickBot="1">
      <c r="A53" s="73" t="s">
        <v>46</v>
      </c>
      <c r="B53" s="74">
        <f>SUM(MF:R!B53)</f>
        <v>39955</v>
      </c>
      <c r="C53" s="74">
        <f>SUM(MF:R!C53)</f>
        <v>17334</v>
      </c>
      <c r="D53" s="74">
        <f>SUM(MF:R!D53)</f>
        <v>195426</v>
      </c>
      <c r="E53" s="74">
        <f>SUM(MF:R!E53)</f>
        <v>171354</v>
      </c>
      <c r="F53" s="83">
        <f t="shared" si="1"/>
        <v>87.6822940652728</v>
      </c>
      <c r="G53" s="92">
        <f t="shared" si="2"/>
        <v>428.86747591039926</v>
      </c>
    </row>
    <row r="54" spans="1:7" ht="12.75">
      <c r="A54" s="11" t="s">
        <v>47</v>
      </c>
      <c r="B54" s="13">
        <f>SUM(MF:R!B54)</f>
        <v>1306</v>
      </c>
      <c r="C54" s="13">
        <f>SUM(MF:R!C54)</f>
        <v>1441</v>
      </c>
      <c r="D54" s="13">
        <f>SUM(MF:R!D54)</f>
        <v>1444</v>
      </c>
      <c r="E54" s="13">
        <f>SUM(MF:R!E54)</f>
        <v>1374</v>
      </c>
      <c r="F54" s="44">
        <f t="shared" si="1"/>
        <v>95.15235457063712</v>
      </c>
      <c r="G54" s="89">
        <f t="shared" si="2"/>
        <v>105.20673813169985</v>
      </c>
    </row>
    <row r="55" spans="1:7" ht="12.75" hidden="1">
      <c r="A55" s="11" t="s">
        <v>69</v>
      </c>
      <c r="B55" s="13"/>
      <c r="C55" s="13">
        <f>SUM(MF:R!C55)</f>
        <v>0</v>
      </c>
      <c r="D55" s="25">
        <f>SUM(MF:R!D55)</f>
        <v>0</v>
      </c>
      <c r="E55" s="13"/>
      <c r="F55" s="44">
        <f>E55/D38*100</f>
        <v>0</v>
      </c>
      <c r="G55" s="89" t="e">
        <f t="shared" si="2"/>
        <v>#DIV/0!</v>
      </c>
    </row>
    <row r="56" spans="1:7" ht="12.75">
      <c r="A56" s="11" t="s">
        <v>48</v>
      </c>
      <c r="B56" s="13">
        <f>B38/B54/12*1000</f>
        <v>35845.32924961715</v>
      </c>
      <c r="C56" s="13">
        <f>C38/C54/12*1000</f>
        <v>36138.50335415221</v>
      </c>
      <c r="D56" s="13">
        <f>D38/D54/12*1000</f>
        <v>36510.73407202216</v>
      </c>
      <c r="E56" s="13">
        <f>E38/E54/12*1000</f>
        <v>38217.30955846676</v>
      </c>
      <c r="F56" s="44">
        <f>E56/D56*100</f>
        <v>104.67417467717345</v>
      </c>
      <c r="G56" s="89">
        <f t="shared" si="2"/>
        <v>106.61726467158883</v>
      </c>
    </row>
    <row r="57" spans="1:8" ht="13.5" thickBot="1">
      <c r="A57" s="7" t="s">
        <v>49</v>
      </c>
      <c r="B57" s="14">
        <f>B43/B54*1000</f>
        <v>830151.7534456354</v>
      </c>
      <c r="C57" s="14">
        <f>C43/C54*1000</f>
        <v>1067826.5093684942</v>
      </c>
      <c r="D57" s="14">
        <f>D43/D54*1000</f>
        <v>1168382.2714681441</v>
      </c>
      <c r="E57" s="14">
        <f>E43/E54*1000</f>
        <v>1068385.0072780203</v>
      </c>
      <c r="F57" s="83">
        <f>E57/D57*100</f>
        <v>91.44139151782309</v>
      </c>
      <c r="G57" s="92">
        <f t="shared" si="2"/>
        <v>128.6975547354531</v>
      </c>
      <c r="H57" s="34"/>
    </row>
    <row r="59" ht="12.75">
      <c r="A59" s="111"/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  <headerFooter alignWithMargins="0">
    <oddHeader>&amp;R&amp;"Arial CE,Tučné"&amp;UPříloha č. 3 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4">
      <selection activeCell="J16" sqref="J16"/>
    </sheetView>
  </sheetViews>
  <sheetFormatPr defaultColWidth="9.125" defaultRowHeight="12.75"/>
  <cols>
    <col min="1" max="1" width="33.125" style="2" customWidth="1"/>
    <col min="2" max="2" width="10.375" style="69" customWidth="1"/>
    <col min="3" max="3" width="9.625" style="2" customWidth="1"/>
    <col min="4" max="4" width="9.75390625" style="2" customWidth="1"/>
    <col min="5" max="5" width="10.875" style="2" customWidth="1"/>
    <col min="6" max="6" width="8.00390625" style="2" customWidth="1"/>
    <col min="7" max="16384" width="9.125" style="2" customWidth="1"/>
  </cols>
  <sheetData>
    <row r="1" spans="1:2" ht="12.75">
      <c r="A1" s="1" t="s">
        <v>51</v>
      </c>
      <c r="B1" s="68"/>
    </row>
    <row r="2" ht="12.75">
      <c r="A2" s="2" t="s">
        <v>68</v>
      </c>
    </row>
    <row r="3" spans="1:7" ht="13.5" thickBot="1">
      <c r="A3" s="2" t="s">
        <v>77</v>
      </c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114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9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  <c r="I6" s="115"/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50" t="s">
        <v>70</v>
      </c>
      <c r="G7" s="23" t="s">
        <v>71</v>
      </c>
    </row>
    <row r="8" spans="1:7" ht="12.75">
      <c r="A8" s="9" t="s">
        <v>9</v>
      </c>
      <c r="B8" s="10">
        <f>SUM(B10:B25)</f>
        <v>31645</v>
      </c>
      <c r="C8" s="10">
        <f>C10+C12+C13+C14+C15+C16+C17+C18+C19+C20+C21+C22+C25</f>
        <v>21100</v>
      </c>
      <c r="D8" s="79">
        <f>SUM(D10:D25)</f>
        <v>21100</v>
      </c>
      <c r="E8" s="79">
        <f>SUM(E10:E25)</f>
        <v>50363</v>
      </c>
      <c r="F8" s="79">
        <f>E8/D8*100</f>
        <v>238.68720379146922</v>
      </c>
      <c r="G8" s="88">
        <f>E8/B8*100</f>
        <v>159.14994469900458</v>
      </c>
    </row>
    <row r="9" spans="1:7" ht="12.75">
      <c r="A9" s="11" t="s">
        <v>10</v>
      </c>
      <c r="B9" s="13"/>
      <c r="C9" s="13"/>
      <c r="D9" s="67"/>
      <c r="E9" s="67"/>
      <c r="F9" s="80"/>
      <c r="G9" s="89"/>
    </row>
    <row r="10" spans="1:7" ht="12.75">
      <c r="A10" s="11" t="s">
        <v>11</v>
      </c>
      <c r="B10" s="67"/>
      <c r="C10" s="13"/>
      <c r="D10" s="67"/>
      <c r="E10" s="67"/>
      <c r="F10" s="48"/>
      <c r="G10" s="89"/>
    </row>
    <row r="11" spans="1:7" ht="12.75">
      <c r="A11" s="11" t="s">
        <v>12</v>
      </c>
      <c r="B11" s="67"/>
      <c r="C11" s="13"/>
      <c r="D11" s="67"/>
      <c r="E11" s="67"/>
      <c r="F11" s="48"/>
      <c r="G11" s="89"/>
    </row>
    <row r="12" spans="1:7" ht="12.75">
      <c r="A12" s="11" t="s">
        <v>13</v>
      </c>
      <c r="B12" s="66">
        <v>159</v>
      </c>
      <c r="C12" s="13">
        <v>213</v>
      </c>
      <c r="D12" s="13">
        <v>115</v>
      </c>
      <c r="E12" s="66">
        <v>212</v>
      </c>
      <c r="F12" s="58">
        <f>E12/D12*100</f>
        <v>184.34782608695653</v>
      </c>
      <c r="G12" s="89">
        <f>E12/B12*100</f>
        <v>133.33333333333331</v>
      </c>
    </row>
    <row r="13" spans="1:7" ht="12.75">
      <c r="A13" s="101" t="s">
        <v>59</v>
      </c>
      <c r="B13" s="66"/>
      <c r="C13" s="13"/>
      <c r="D13" s="13"/>
      <c r="E13" s="66"/>
      <c r="F13" s="58"/>
      <c r="G13" s="89"/>
    </row>
    <row r="14" spans="1:7" ht="12.75">
      <c r="A14" s="11" t="s">
        <v>14</v>
      </c>
      <c r="B14" s="66">
        <v>11131</v>
      </c>
      <c r="C14" s="13">
        <v>8560</v>
      </c>
      <c r="D14" s="13">
        <v>10468</v>
      </c>
      <c r="E14" s="66">
        <v>24533</v>
      </c>
      <c r="F14" s="58">
        <f>E14/D14*100</f>
        <v>234.36186473060755</v>
      </c>
      <c r="G14" s="89">
        <f>E14/B14*100</f>
        <v>220.40247956158478</v>
      </c>
    </row>
    <row r="15" spans="1:7" ht="12.75">
      <c r="A15" s="11" t="s">
        <v>15</v>
      </c>
      <c r="B15" s="66">
        <v>3004</v>
      </c>
      <c r="C15" s="13">
        <v>5000</v>
      </c>
      <c r="D15" s="13">
        <v>4349</v>
      </c>
      <c r="E15" s="66">
        <v>3513</v>
      </c>
      <c r="F15" s="58">
        <f>E15/D15*100</f>
        <v>80.77719015865716</v>
      </c>
      <c r="G15" s="89">
        <f>E15/B15*100</f>
        <v>116.94407456724367</v>
      </c>
    </row>
    <row r="16" spans="1:7" ht="12.75">
      <c r="A16" s="11" t="s">
        <v>16</v>
      </c>
      <c r="B16" s="66">
        <v>3</v>
      </c>
      <c r="C16" s="13"/>
      <c r="D16" s="13"/>
      <c r="E16" s="131">
        <f>6-1</f>
        <v>5</v>
      </c>
      <c r="F16" s="58"/>
      <c r="G16" s="89">
        <f>E16/B16*100</f>
        <v>166.66666666666669</v>
      </c>
    </row>
    <row r="17" spans="1:7" ht="12.75">
      <c r="A17" s="11" t="s">
        <v>17</v>
      </c>
      <c r="B17" s="66">
        <v>168</v>
      </c>
      <c r="C17" s="13">
        <v>24</v>
      </c>
      <c r="D17" s="13">
        <v>17</v>
      </c>
      <c r="E17" s="66">
        <v>91</v>
      </c>
      <c r="F17" s="58">
        <f>E17/D17*100</f>
        <v>535.2941176470588</v>
      </c>
      <c r="G17" s="89">
        <f>E17/B17*100</f>
        <v>54.166666666666664</v>
      </c>
    </row>
    <row r="18" spans="1:7" ht="12.75">
      <c r="A18" s="11" t="s">
        <v>18</v>
      </c>
      <c r="B18" s="66">
        <v>13476</v>
      </c>
      <c r="C18" s="13">
        <v>6670</v>
      </c>
      <c r="D18" s="13">
        <v>5708</v>
      </c>
      <c r="E18" s="66">
        <v>13673</v>
      </c>
      <c r="F18" s="58">
        <f>E18/D18*100</f>
        <v>239.54099509460406</v>
      </c>
      <c r="G18" s="89">
        <f>E18/B18*100</f>
        <v>101.46185811813595</v>
      </c>
    </row>
    <row r="19" spans="1:7" ht="12.75">
      <c r="A19" s="102" t="s">
        <v>60</v>
      </c>
      <c r="B19" s="66"/>
      <c r="C19" s="13"/>
      <c r="D19" s="13"/>
      <c r="E19" s="66"/>
      <c r="F19" s="58"/>
      <c r="G19" s="89"/>
    </row>
    <row r="20" spans="1:7" ht="12.75">
      <c r="A20" s="11" t="s">
        <v>19</v>
      </c>
      <c r="B20" s="66">
        <v>1292</v>
      </c>
      <c r="C20" s="13">
        <v>633</v>
      </c>
      <c r="D20" s="13">
        <v>443</v>
      </c>
      <c r="E20" s="66">
        <v>946</v>
      </c>
      <c r="F20" s="58">
        <f>E20/D20*100</f>
        <v>213.54401805869077</v>
      </c>
      <c r="G20" s="89">
        <f>E20/B20*100</f>
        <v>73.21981424148606</v>
      </c>
    </row>
    <row r="21" spans="1:7" ht="12.75">
      <c r="A21" s="102" t="s">
        <v>61</v>
      </c>
      <c r="B21" s="66"/>
      <c r="C21" s="13"/>
      <c r="D21" s="13"/>
      <c r="E21" s="66"/>
      <c r="F21" s="58"/>
      <c r="G21" s="89"/>
    </row>
    <row r="22" spans="1:7" ht="12.75" customHeight="1">
      <c r="A22" s="11" t="s">
        <v>20</v>
      </c>
      <c r="B22" s="66">
        <v>190</v>
      </c>
      <c r="C22" s="13"/>
      <c r="D22" s="66"/>
      <c r="E22" s="66"/>
      <c r="F22" s="58"/>
      <c r="G22" s="89">
        <f>E22/B22*100</f>
        <v>0</v>
      </c>
    </row>
    <row r="23" spans="1:7" ht="12.75" customHeight="1">
      <c r="A23" s="11" t="s">
        <v>63</v>
      </c>
      <c r="B23" s="66"/>
      <c r="C23" s="13"/>
      <c r="D23" s="66"/>
      <c r="E23" s="66"/>
      <c r="F23" s="58"/>
      <c r="G23" s="89"/>
    </row>
    <row r="24" spans="1:7" ht="12.75" customHeight="1">
      <c r="A24" s="109" t="s">
        <v>64</v>
      </c>
      <c r="B24" s="66"/>
      <c r="C24" s="13"/>
      <c r="D24" s="13"/>
      <c r="E24" s="66"/>
      <c r="F24" s="58"/>
      <c r="G24" s="89"/>
    </row>
    <row r="25" spans="1:7" ht="13.5" thickBot="1">
      <c r="A25" s="7" t="s">
        <v>21</v>
      </c>
      <c r="B25" s="113">
        <v>2222</v>
      </c>
      <c r="C25" s="14"/>
      <c r="D25" s="28"/>
      <c r="E25" s="132">
        <f>7389+1</f>
        <v>7390</v>
      </c>
      <c r="F25" s="51"/>
      <c r="G25" s="90">
        <f>E25/B25*100</f>
        <v>332.58325832583256</v>
      </c>
    </row>
    <row r="26" spans="1:7" ht="12.75">
      <c r="A26" s="5"/>
      <c r="B26" s="15"/>
      <c r="C26" s="15"/>
      <c r="D26" s="29"/>
      <c r="E26" s="29"/>
      <c r="F26" s="52"/>
      <c r="G26" s="91"/>
    </row>
    <row r="27" spans="1:9" ht="12.75">
      <c r="A27" s="9" t="s">
        <v>22</v>
      </c>
      <c r="B27" s="10">
        <f>B29+B35</f>
        <v>7458474</v>
      </c>
      <c r="C27" s="10">
        <f>C29+C35</f>
        <v>7472309</v>
      </c>
      <c r="D27" s="10">
        <f>D29+D35</f>
        <v>7875299</v>
      </c>
      <c r="E27" s="10">
        <f>E29+E35</f>
        <v>7928825</v>
      </c>
      <c r="F27" s="53">
        <f>E27/D27*100</f>
        <v>100.67966943223364</v>
      </c>
      <c r="G27" s="88">
        <f>E27/B27*100</f>
        <v>106.30626318466754</v>
      </c>
      <c r="I27" s="69"/>
    </row>
    <row r="28" spans="1:7" ht="12.75">
      <c r="A28" s="11" t="s">
        <v>23</v>
      </c>
      <c r="B28" s="13"/>
      <c r="C28" s="13"/>
      <c r="D28" s="60"/>
      <c r="E28" s="60"/>
      <c r="F28" s="61"/>
      <c r="G28" s="89"/>
    </row>
    <row r="29" spans="1:11" ht="12.75">
      <c r="A29" s="9" t="s">
        <v>24</v>
      </c>
      <c r="B29" s="10">
        <f>B31+B32+B33</f>
        <v>188882</v>
      </c>
      <c r="C29" s="10">
        <f>C31+C32+C33</f>
        <v>144685</v>
      </c>
      <c r="D29" s="10">
        <f>D31+D32+D33</f>
        <v>425496</v>
      </c>
      <c r="E29" s="10">
        <f>E31+E32+E33</f>
        <v>488791</v>
      </c>
      <c r="F29" s="53">
        <f>E29/D29*100</f>
        <v>114.87558049899411</v>
      </c>
      <c r="G29" s="88">
        <f>E29/B29*100</f>
        <v>258.7811437828909</v>
      </c>
      <c r="I29" s="69"/>
      <c r="K29" s="69"/>
    </row>
    <row r="30" spans="1:9" ht="12.75">
      <c r="A30" s="11" t="s">
        <v>25</v>
      </c>
      <c r="B30" s="13"/>
      <c r="C30" s="13"/>
      <c r="D30" s="64"/>
      <c r="E30" s="64"/>
      <c r="F30" s="65"/>
      <c r="G30" s="89"/>
      <c r="I30" s="69"/>
    </row>
    <row r="31" spans="1:11" ht="12.75">
      <c r="A31" s="11" t="s">
        <v>26</v>
      </c>
      <c r="B31" s="66">
        <v>885</v>
      </c>
      <c r="C31" s="13">
        <v>20000</v>
      </c>
      <c r="D31" s="66">
        <v>10262</v>
      </c>
      <c r="E31" s="66">
        <v>15597</v>
      </c>
      <c r="F31" s="58">
        <f>E31/D31*100</f>
        <v>151.9879165854609</v>
      </c>
      <c r="G31" s="89"/>
      <c r="I31" s="69"/>
      <c r="K31" s="69"/>
    </row>
    <row r="32" spans="1:9" ht="12.75">
      <c r="A32" s="11" t="s">
        <v>27</v>
      </c>
      <c r="B32" s="66">
        <v>187997</v>
      </c>
      <c r="C32" s="13">
        <v>124685</v>
      </c>
      <c r="D32" s="105">
        <v>413901</v>
      </c>
      <c r="E32" s="66">
        <v>471508</v>
      </c>
      <c r="F32" s="58">
        <f>E32/D32*100</f>
        <v>113.91806253186148</v>
      </c>
      <c r="G32" s="89">
        <f>E32/B32*100</f>
        <v>250.80612988505138</v>
      </c>
      <c r="I32" s="69"/>
    </row>
    <row r="33" spans="1:9" ht="12.75">
      <c r="A33" s="16" t="s">
        <v>28</v>
      </c>
      <c r="B33" s="30">
        <v>0</v>
      </c>
      <c r="C33" s="17">
        <v>0</v>
      </c>
      <c r="D33" s="108">
        <v>1333</v>
      </c>
      <c r="E33" s="30">
        <v>1686</v>
      </c>
      <c r="F33" s="58">
        <f>E33/D33*100</f>
        <v>126.48162040510127</v>
      </c>
      <c r="G33" s="116" t="e">
        <f>E33/B33*100</f>
        <v>#DIV/0!</v>
      </c>
      <c r="I33" s="69"/>
    </row>
    <row r="34" spans="1:12" ht="12.75">
      <c r="A34" s="5"/>
      <c r="B34" s="15"/>
      <c r="C34" s="15"/>
      <c r="D34" s="31"/>
      <c r="E34" s="32"/>
      <c r="F34" s="54"/>
      <c r="G34" s="117"/>
      <c r="H34" s="34"/>
      <c r="I34" s="34"/>
      <c r="J34" s="34"/>
      <c r="K34" s="34"/>
      <c r="L34" s="34"/>
    </row>
    <row r="35" spans="1:14" ht="12.75">
      <c r="A35" s="9" t="s">
        <v>29</v>
      </c>
      <c r="B35" s="10">
        <f>B37+B40+B41+B42+B43</f>
        <v>7269592</v>
      </c>
      <c r="C35" s="10">
        <f>C37+C40+C41+B42+C43</f>
        <v>7327624</v>
      </c>
      <c r="D35" s="10">
        <f>D37+D40+D41+C42+D43</f>
        <v>7449803</v>
      </c>
      <c r="E35" s="10">
        <f>E37+E40+E41+D42+E43</f>
        <v>7440034</v>
      </c>
      <c r="F35" s="55">
        <f>E35/D35*100</f>
        <v>99.86886901573102</v>
      </c>
      <c r="G35" s="88">
        <f>E35/B35*100</f>
        <v>102.34458825199543</v>
      </c>
      <c r="H35" s="34"/>
      <c r="I35" s="87"/>
      <c r="J35" s="34"/>
      <c r="K35" s="118"/>
      <c r="L35" s="118"/>
      <c r="M35" s="69"/>
      <c r="N35" s="69"/>
    </row>
    <row r="36" spans="1:12" ht="12.75">
      <c r="A36" s="11" t="s">
        <v>25</v>
      </c>
      <c r="B36" s="13"/>
      <c r="C36" s="13"/>
      <c r="D36" s="60"/>
      <c r="E36" s="60"/>
      <c r="F36" s="61"/>
      <c r="G36" s="89"/>
      <c r="H36" s="34"/>
      <c r="I36" s="34"/>
      <c r="J36" s="34"/>
      <c r="K36" s="34"/>
      <c r="L36" s="34"/>
    </row>
    <row r="37" spans="1:13" ht="12.75">
      <c r="A37" s="18" t="s">
        <v>30</v>
      </c>
      <c r="B37" s="19">
        <f>B38+B39</f>
        <v>4412239</v>
      </c>
      <c r="C37" s="19">
        <f>C38+C39</f>
        <v>4479577</v>
      </c>
      <c r="D37" s="19">
        <f>D38+D39</f>
        <v>4512669</v>
      </c>
      <c r="E37" s="19">
        <f>E38+E39</f>
        <v>4512127</v>
      </c>
      <c r="F37" s="48">
        <f>E37/D37*100</f>
        <v>99.987989369484</v>
      </c>
      <c r="G37" s="89">
        <f>E37/B37*100</f>
        <v>102.26388461731108</v>
      </c>
      <c r="H37" s="34"/>
      <c r="I37" s="34"/>
      <c r="J37" s="34"/>
      <c r="K37" s="118"/>
      <c r="L37" s="118"/>
      <c r="M37" s="69"/>
    </row>
    <row r="38" spans="1:12" ht="12.75">
      <c r="A38" s="11" t="s">
        <v>31</v>
      </c>
      <c r="B38" s="59">
        <v>4396591</v>
      </c>
      <c r="C38" s="13">
        <v>4467551</v>
      </c>
      <c r="D38" s="59">
        <v>4498552</v>
      </c>
      <c r="E38" s="59">
        <v>4498551</v>
      </c>
      <c r="F38" s="58">
        <f>E38/D38*100</f>
        <v>99.99997777062487</v>
      </c>
      <c r="G38" s="89">
        <f>E38/B38*100</f>
        <v>102.31906947905776</v>
      </c>
      <c r="H38" s="34"/>
      <c r="I38" s="34"/>
      <c r="J38" s="34"/>
      <c r="K38" s="87"/>
      <c r="L38" s="87"/>
    </row>
    <row r="39" spans="1:12" ht="12.75">
      <c r="A39" s="11" t="s">
        <v>52</v>
      </c>
      <c r="B39" s="59">
        <v>15648</v>
      </c>
      <c r="C39" s="13">
        <v>12026</v>
      </c>
      <c r="D39" s="59">
        <v>14117</v>
      </c>
      <c r="E39" s="59">
        <v>13576</v>
      </c>
      <c r="F39" s="58">
        <f>E39/D39*100</f>
        <v>96.16774102146348</v>
      </c>
      <c r="G39" s="89">
        <f>E39/B39*100</f>
        <v>86.75869120654397</v>
      </c>
      <c r="H39" s="34"/>
      <c r="I39" s="34"/>
      <c r="J39" s="34"/>
      <c r="K39" s="87"/>
      <c r="L39" s="87"/>
    </row>
    <row r="40" spans="1:12" ht="12.75">
      <c r="A40" s="26" t="s">
        <v>33</v>
      </c>
      <c r="B40" s="62">
        <v>1542743</v>
      </c>
      <c r="C40" s="27">
        <v>1567852</v>
      </c>
      <c r="D40" s="62">
        <v>1579441</v>
      </c>
      <c r="E40" s="62">
        <v>1579241</v>
      </c>
      <c r="F40" s="48">
        <f>E40/D40*100</f>
        <v>99.9873372921179</v>
      </c>
      <c r="G40" s="89">
        <f>E40/B40*100</f>
        <v>102.3657861354743</v>
      </c>
      <c r="H40" s="34"/>
      <c r="I40" s="34"/>
      <c r="J40" s="34"/>
      <c r="K40" s="118"/>
      <c r="L40" s="118"/>
    </row>
    <row r="41" spans="1:12" ht="12.75">
      <c r="A41" s="26" t="s">
        <v>34</v>
      </c>
      <c r="B41" s="62">
        <v>87973</v>
      </c>
      <c r="C41" s="27">
        <v>89350</v>
      </c>
      <c r="D41" s="62">
        <v>90014</v>
      </c>
      <c r="E41" s="62">
        <v>89996</v>
      </c>
      <c r="F41" s="48">
        <f>E41/D41*100</f>
        <v>99.98000311062724</v>
      </c>
      <c r="G41" s="89">
        <f>E41/B41*100</f>
        <v>102.29956918600026</v>
      </c>
      <c r="H41" s="34"/>
      <c r="I41" s="34"/>
      <c r="J41" s="34"/>
      <c r="K41" s="118"/>
      <c r="L41" s="118"/>
    </row>
    <row r="42" spans="1:12" ht="12.75">
      <c r="A42" s="18" t="s">
        <v>53</v>
      </c>
      <c r="B42" s="62">
        <v>0</v>
      </c>
      <c r="C42" s="19">
        <v>0</v>
      </c>
      <c r="D42" s="62">
        <v>0</v>
      </c>
      <c r="E42" s="62">
        <v>0</v>
      </c>
      <c r="F42" s="48"/>
      <c r="G42" s="89"/>
      <c r="H42" s="34"/>
      <c r="I42" s="34"/>
      <c r="J42" s="34"/>
      <c r="K42" s="118"/>
      <c r="L42" s="118"/>
    </row>
    <row r="43" spans="1:12" ht="12.75">
      <c r="A43" s="18" t="s">
        <v>36</v>
      </c>
      <c r="B43" s="19">
        <f>B45+B46+B47+B49+B53</f>
        <v>1226637</v>
      </c>
      <c r="C43" s="19">
        <f>C45+C46+C47+C49+C53</f>
        <v>1190845</v>
      </c>
      <c r="D43" s="19">
        <f>D45+D46+D47+D49+D53</f>
        <v>1267679</v>
      </c>
      <c r="E43" s="19">
        <f>E45+E46+E47+E49+E53</f>
        <v>1258670</v>
      </c>
      <c r="F43" s="48">
        <f>E43/D43*100</f>
        <v>99.28933113193482</v>
      </c>
      <c r="G43" s="89">
        <f>E43/B43*100</f>
        <v>102.61144902689223</v>
      </c>
      <c r="H43" s="119"/>
      <c r="I43" s="34"/>
      <c r="J43" s="34"/>
      <c r="K43" s="118"/>
      <c r="L43" s="118"/>
    </row>
    <row r="44" spans="1:12" ht="12.75">
      <c r="A44" s="11" t="s">
        <v>37</v>
      </c>
      <c r="B44" s="13"/>
      <c r="C44" s="13"/>
      <c r="D44" s="59"/>
      <c r="E44" s="59"/>
      <c r="F44" s="63"/>
      <c r="G44" s="89"/>
      <c r="H44" s="34"/>
      <c r="I44" s="34"/>
      <c r="J44" s="34"/>
      <c r="K44" s="87"/>
      <c r="L44" s="87"/>
    </row>
    <row r="45" spans="1:12" ht="12.75">
      <c r="A45" s="11" t="s">
        <v>38</v>
      </c>
      <c r="B45" s="59">
        <v>226119</v>
      </c>
      <c r="C45" s="13">
        <v>204181</v>
      </c>
      <c r="D45" s="59">
        <v>225050</v>
      </c>
      <c r="E45" s="59">
        <v>219724</v>
      </c>
      <c r="F45" s="58">
        <f aca="true" t="shared" si="0" ref="F45:F54">E45/D45*100</f>
        <v>97.63341479671183</v>
      </c>
      <c r="G45" s="89">
        <f aca="true" t="shared" si="1" ref="G45:G57">E45/B45*100</f>
        <v>97.17184314453894</v>
      </c>
      <c r="H45" s="34"/>
      <c r="I45" s="34"/>
      <c r="J45" s="34"/>
      <c r="K45" s="87"/>
      <c r="L45" s="87"/>
    </row>
    <row r="46" spans="1:12" ht="12.75">
      <c r="A46" s="11" t="s">
        <v>39</v>
      </c>
      <c r="B46" s="59">
        <v>162257</v>
      </c>
      <c r="C46" s="13">
        <v>177397</v>
      </c>
      <c r="D46" s="59">
        <v>191701</v>
      </c>
      <c r="E46" s="59">
        <v>191093</v>
      </c>
      <c r="F46" s="58">
        <f t="shared" si="0"/>
        <v>99.68283942180793</v>
      </c>
      <c r="G46" s="89">
        <f t="shared" si="1"/>
        <v>117.77180645519145</v>
      </c>
      <c r="H46" s="34"/>
      <c r="I46" s="34"/>
      <c r="J46" s="34"/>
      <c r="K46" s="87"/>
      <c r="L46" s="87"/>
    </row>
    <row r="47" spans="1:12" ht="12.75">
      <c r="A47" s="11" t="s">
        <v>40</v>
      </c>
      <c r="B47" s="59">
        <v>665245</v>
      </c>
      <c r="C47" s="13">
        <v>608308</v>
      </c>
      <c r="D47" s="59">
        <v>659427</v>
      </c>
      <c r="E47" s="59">
        <v>661792</v>
      </c>
      <c r="F47" s="58">
        <f t="shared" si="0"/>
        <v>100.35864470214293</v>
      </c>
      <c r="G47" s="89">
        <f t="shared" si="1"/>
        <v>99.4809431111846</v>
      </c>
      <c r="H47" s="34"/>
      <c r="I47" s="34"/>
      <c r="J47" s="34"/>
      <c r="K47" s="87"/>
      <c r="L47" s="87"/>
    </row>
    <row r="48" spans="1:12" ht="12.75">
      <c r="A48" s="11" t="s">
        <v>41</v>
      </c>
      <c r="B48" s="59">
        <f>145111+29</f>
        <v>145140</v>
      </c>
      <c r="C48" s="13">
        <f>143490+32</f>
        <v>143522</v>
      </c>
      <c r="D48" s="59">
        <v>135064</v>
      </c>
      <c r="E48" s="59">
        <f>134885+27</f>
        <v>134912</v>
      </c>
      <c r="F48" s="58">
        <f t="shared" si="0"/>
        <v>99.88746075934371</v>
      </c>
      <c r="G48" s="89">
        <f t="shared" si="1"/>
        <v>92.95301088604107</v>
      </c>
      <c r="H48" s="34"/>
      <c r="I48" s="34"/>
      <c r="J48" s="34"/>
      <c r="K48" s="87"/>
      <c r="L48" s="87"/>
    </row>
    <row r="49" spans="1:12" ht="12.75">
      <c r="A49" s="11" t="s">
        <v>42</v>
      </c>
      <c r="B49" s="59">
        <v>160690</v>
      </c>
      <c r="C49" s="13">
        <v>192142</v>
      </c>
      <c r="D49" s="59">
        <v>177550</v>
      </c>
      <c r="E49" s="59">
        <v>172178</v>
      </c>
      <c r="F49" s="58">
        <f t="shared" si="0"/>
        <v>96.97437341593917</v>
      </c>
      <c r="G49" s="89">
        <f t="shared" si="1"/>
        <v>107.1491692077914</v>
      </c>
      <c r="H49" s="34"/>
      <c r="I49" s="34"/>
      <c r="J49" s="34"/>
      <c r="K49" s="87"/>
      <c r="L49" s="87"/>
    </row>
    <row r="50" spans="1:12" ht="12.75">
      <c r="A50" s="11" t="s">
        <v>43</v>
      </c>
      <c r="B50" s="59">
        <v>113350</v>
      </c>
      <c r="C50" s="13">
        <v>139026</v>
      </c>
      <c r="D50" s="59">
        <v>122427</v>
      </c>
      <c r="E50" s="59">
        <v>119413</v>
      </c>
      <c r="F50" s="58">
        <f t="shared" si="0"/>
        <v>97.5381247600611</v>
      </c>
      <c r="G50" s="89">
        <f t="shared" si="1"/>
        <v>105.34891927657696</v>
      </c>
      <c r="H50" s="34"/>
      <c r="I50" s="34"/>
      <c r="J50" s="34"/>
      <c r="K50" s="87"/>
      <c r="L50" s="87"/>
    </row>
    <row r="51" spans="1:12" ht="12.75">
      <c r="A51" s="11" t="s">
        <v>44</v>
      </c>
      <c r="B51" s="59">
        <v>15404</v>
      </c>
      <c r="C51" s="13">
        <v>8871</v>
      </c>
      <c r="D51" s="59">
        <v>23087</v>
      </c>
      <c r="E51" s="59">
        <v>20883</v>
      </c>
      <c r="F51" s="58">
        <f t="shared" si="0"/>
        <v>90.45350197080609</v>
      </c>
      <c r="G51" s="89">
        <f t="shared" si="1"/>
        <v>135.56868345884186</v>
      </c>
      <c r="H51" s="34"/>
      <c r="I51" s="34"/>
      <c r="J51" s="34"/>
      <c r="K51" s="87"/>
      <c r="L51" s="87"/>
    </row>
    <row r="52" spans="1:12" ht="12.75">
      <c r="A52" s="11" t="s">
        <v>45</v>
      </c>
      <c r="B52" s="59">
        <v>28769</v>
      </c>
      <c r="C52" s="13">
        <v>30002</v>
      </c>
      <c r="D52" s="59">
        <v>29117</v>
      </c>
      <c r="E52" s="59">
        <v>29039</v>
      </c>
      <c r="F52" s="58">
        <f t="shared" si="0"/>
        <v>99.73211525912697</v>
      </c>
      <c r="G52" s="89">
        <f t="shared" si="1"/>
        <v>100.9385102019535</v>
      </c>
      <c r="H52" s="34"/>
      <c r="I52" s="34"/>
      <c r="J52" s="34"/>
      <c r="K52" s="87"/>
      <c r="L52" s="87"/>
    </row>
    <row r="53" spans="1:12" ht="13.5" thickBot="1">
      <c r="A53" s="73" t="s">
        <v>46</v>
      </c>
      <c r="B53" s="74">
        <v>12326</v>
      </c>
      <c r="C53" s="74">
        <f>4200+4011+606</f>
        <v>8817</v>
      </c>
      <c r="D53" s="74">
        <v>13951</v>
      </c>
      <c r="E53" s="74">
        <v>13883</v>
      </c>
      <c r="F53" s="76">
        <f t="shared" si="0"/>
        <v>99.51257974338758</v>
      </c>
      <c r="G53" s="92">
        <f t="shared" si="1"/>
        <v>112.63183514522149</v>
      </c>
      <c r="H53" s="34"/>
      <c r="I53" s="34"/>
      <c r="J53" s="34"/>
      <c r="K53" s="87"/>
      <c r="L53" s="87"/>
    </row>
    <row r="54" spans="1:12" ht="12.75">
      <c r="A54" s="11" t="s">
        <v>47</v>
      </c>
      <c r="B54" s="13">
        <v>15629</v>
      </c>
      <c r="C54" s="13">
        <v>15502</v>
      </c>
      <c r="D54" s="13">
        <v>15598</v>
      </c>
      <c r="E54" s="13">
        <v>15379</v>
      </c>
      <c r="F54" s="58">
        <f t="shared" si="0"/>
        <v>98.59597384280036</v>
      </c>
      <c r="G54" s="89">
        <f t="shared" si="1"/>
        <v>98.40040949516924</v>
      </c>
      <c r="H54" s="34"/>
      <c r="I54" s="34"/>
      <c r="J54" s="34"/>
      <c r="K54" s="34"/>
      <c r="L54" s="34"/>
    </row>
    <row r="55" spans="1:12" ht="12.75" hidden="1">
      <c r="A55" s="11" t="s">
        <v>69</v>
      </c>
      <c r="B55" s="13"/>
      <c r="C55" s="13"/>
      <c r="D55" s="13"/>
      <c r="E55" s="13"/>
      <c r="F55" s="58">
        <f>E55/D38*100</f>
        <v>0</v>
      </c>
      <c r="G55" s="89" t="e">
        <f t="shared" si="1"/>
        <v>#DIV/0!</v>
      </c>
      <c r="H55" s="34"/>
      <c r="I55" s="34"/>
      <c r="J55" s="34"/>
      <c r="K55" s="34"/>
      <c r="L55" s="34"/>
    </row>
    <row r="56" spans="1:12" ht="12.75">
      <c r="A56" s="11" t="s">
        <v>48</v>
      </c>
      <c r="B56" s="13">
        <f>B38/B54/12*1000</f>
        <v>23442.484057414636</v>
      </c>
      <c r="C56" s="13">
        <f>C38/C54/12*1000</f>
        <v>24015.99256009977</v>
      </c>
      <c r="D56" s="13">
        <f>D38/D54/12*1000</f>
        <v>24033.807753130746</v>
      </c>
      <c r="E56" s="13">
        <f>E38/E54/12*1000</f>
        <v>24376.04850770531</v>
      </c>
      <c r="F56" s="58">
        <f>E56/D56*100</f>
        <v>101.42399722128917</v>
      </c>
      <c r="G56" s="89">
        <f t="shared" si="1"/>
        <v>103.98236145966536</v>
      </c>
      <c r="H56" s="34"/>
      <c r="I56" s="34"/>
      <c r="J56" s="34"/>
      <c r="K56" s="34"/>
      <c r="L56" s="34"/>
    </row>
    <row r="57" spans="1:8" ht="13.5" thickBot="1">
      <c r="A57" s="7" t="s">
        <v>49</v>
      </c>
      <c r="B57" s="14">
        <f>B43/B54*1000</f>
        <v>78484.67592296371</v>
      </c>
      <c r="C57" s="14">
        <f>C43/C54*1000</f>
        <v>76818.79757450652</v>
      </c>
      <c r="D57" s="14">
        <f>D43/D54*1000</f>
        <v>81271.89383254263</v>
      </c>
      <c r="E57" s="14">
        <f>E43/E54*1000</f>
        <v>81843.42284934002</v>
      </c>
      <c r="F57" s="56">
        <f>E57/D57*100</f>
        <v>100.70323083398918</v>
      </c>
      <c r="G57" s="90">
        <f t="shared" si="1"/>
        <v>104.27949390996156</v>
      </c>
      <c r="H57" s="34"/>
    </row>
    <row r="59" ht="12.75">
      <c r="A59" s="111"/>
    </row>
    <row r="60" ht="12.75">
      <c r="J60" s="69"/>
    </row>
    <row r="62" spans="4:7" ht="12.75">
      <c r="D62" s="87"/>
      <c r="E62" s="87"/>
      <c r="F62" s="34"/>
      <c r="G62" s="34"/>
    </row>
    <row r="63" spans="4:7" ht="12.75">
      <c r="D63" s="34"/>
      <c r="E63" s="87"/>
      <c r="F63" s="34"/>
      <c r="G63" s="34"/>
    </row>
    <row r="64" spans="4:7" ht="12.75">
      <c r="D64" s="34"/>
      <c r="E64" s="87"/>
      <c r="F64" s="34"/>
      <c r="G64" s="34"/>
    </row>
    <row r="65" spans="4:7" ht="12.75">
      <c r="D65" s="34"/>
      <c r="E65" s="87"/>
      <c r="F65" s="34"/>
      <c r="G65" s="34"/>
    </row>
    <row r="66" spans="4:7" ht="12.75">
      <c r="D66" s="87"/>
      <c r="E66" s="87"/>
      <c r="F66" s="34"/>
      <c r="G66" s="34"/>
    </row>
    <row r="67" spans="4:7" ht="12.75">
      <c r="D67" s="87"/>
      <c r="E67" s="87"/>
      <c r="F67" s="34"/>
      <c r="G67" s="34"/>
    </row>
    <row r="68" spans="4:7" ht="12.75">
      <c r="D68" s="87"/>
      <c r="E68" s="87"/>
      <c r="F68" s="34"/>
      <c r="G68" s="34"/>
    </row>
    <row r="69" spans="4:7" ht="12.75">
      <c r="D69" s="34"/>
      <c r="E69" s="87"/>
      <c r="F69" s="34"/>
      <c r="G69" s="34"/>
    </row>
    <row r="70" spans="4:7" ht="12.75">
      <c r="D70" s="34"/>
      <c r="E70" s="87"/>
      <c r="F70" s="34"/>
      <c r="G70" s="34"/>
    </row>
    <row r="71" spans="4:7" ht="12.75">
      <c r="D71" s="34"/>
      <c r="E71" s="87"/>
      <c r="F71" s="34"/>
      <c r="G71" s="34"/>
    </row>
    <row r="72" spans="4:7" ht="12.75">
      <c r="D72" s="34"/>
      <c r="E72" s="87"/>
      <c r="F72" s="34"/>
      <c r="G72" s="34"/>
    </row>
    <row r="73" spans="4:7" ht="12.75">
      <c r="D73" s="34"/>
      <c r="E73" s="87"/>
      <c r="F73" s="34"/>
      <c r="G73" s="34"/>
    </row>
    <row r="74" spans="4:7" ht="12.75">
      <c r="D74" s="34"/>
      <c r="E74" s="34"/>
      <c r="F74" s="34"/>
      <c r="G74" s="34"/>
    </row>
    <row r="75" spans="4:7" ht="12.75">
      <c r="D75" s="34"/>
      <c r="E75" s="87"/>
      <c r="F75" s="34"/>
      <c r="G75" s="34"/>
    </row>
    <row r="76" spans="4:7" ht="12.75">
      <c r="D76" s="34"/>
      <c r="E76" s="34"/>
      <c r="F76" s="34"/>
      <c r="G76" s="34"/>
    </row>
    <row r="77" spans="4:7" ht="12.75">
      <c r="D77" s="34"/>
      <c r="E77" s="34"/>
      <c r="F77" s="34"/>
      <c r="G77" s="34"/>
    </row>
    <row r="78" spans="4:7" ht="12.75">
      <c r="D78" s="34"/>
      <c r="E78" s="34"/>
      <c r="F78" s="34"/>
      <c r="G78" s="34"/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  <headerFooter alignWithMargins="0">
    <oddHeader>&amp;R&amp;"Arial CE,Tučné"&amp;UPříloha č. 3 b)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7">
      <selection activeCell="J16" sqref="J16"/>
    </sheetView>
  </sheetViews>
  <sheetFormatPr defaultColWidth="9.125" defaultRowHeight="12.75"/>
  <cols>
    <col min="1" max="1" width="33.125" style="2" customWidth="1"/>
    <col min="2" max="2" width="10.375" style="69" customWidth="1"/>
    <col min="3" max="3" width="9.625" style="2" customWidth="1"/>
    <col min="4" max="4" width="9.75390625" style="2" customWidth="1"/>
    <col min="5" max="5" width="10.875" style="2" customWidth="1"/>
    <col min="6" max="6" width="8.00390625" style="2" customWidth="1"/>
    <col min="7" max="16384" width="9.125" style="2" customWidth="1"/>
  </cols>
  <sheetData>
    <row r="1" spans="1:2" ht="12.75">
      <c r="A1" s="1" t="s">
        <v>54</v>
      </c>
      <c r="B1" s="68"/>
    </row>
    <row r="2" ht="12.75">
      <c r="A2" s="2" t="s">
        <v>68</v>
      </c>
    </row>
    <row r="3" spans="1:7" ht="13.5" thickBot="1">
      <c r="A3" s="2" t="s">
        <v>77</v>
      </c>
      <c r="E3" s="3"/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22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7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42" t="s">
        <v>70</v>
      </c>
      <c r="G7" s="23" t="s">
        <v>71</v>
      </c>
    </row>
    <row r="8" spans="1:7" ht="12.75">
      <c r="A8" s="16" t="s">
        <v>9</v>
      </c>
      <c r="B8" s="71">
        <f>B10+B12+B14+B15+B16+B17+B18+B20+B22+B23+B25</f>
        <v>807887</v>
      </c>
      <c r="C8" s="10">
        <f>C10+C12+C14+C15+C16+C17+C18+C20+C22+C23+C25</f>
        <v>737651</v>
      </c>
      <c r="D8" s="78">
        <f>D10+D12+D14+D15+D16+D17+D18+D20+D22+D23+D25</f>
        <v>737651</v>
      </c>
      <c r="E8" s="78">
        <f>E10+E12+E13+E14+E15+E16+E17+E18+E19+E20+E21+E22+E23+E24+E25</f>
        <v>750003</v>
      </c>
      <c r="F8" s="43">
        <f>E8/D8*100</f>
        <v>101.6745046099036</v>
      </c>
      <c r="G8" s="88">
        <f>E8/B8*100</f>
        <v>92.8351365970736</v>
      </c>
    </row>
    <row r="9" spans="1:7" ht="12.75">
      <c r="A9" s="11" t="s">
        <v>10</v>
      </c>
      <c r="B9" s="13"/>
      <c r="C9" s="13"/>
      <c r="D9" s="13"/>
      <c r="E9" s="13"/>
      <c r="F9" s="44"/>
      <c r="G9" s="89"/>
    </row>
    <row r="10" spans="1:7" ht="12.75">
      <c r="A10" s="11" t="s">
        <v>11</v>
      </c>
      <c r="B10" s="13">
        <v>644814</v>
      </c>
      <c r="C10" s="13">
        <v>667701</v>
      </c>
      <c r="D10" s="13">
        <v>667701</v>
      </c>
      <c r="E10" s="13">
        <v>648551</v>
      </c>
      <c r="F10" s="44">
        <f>E10/D10*100</f>
        <v>97.13194977991645</v>
      </c>
      <c r="G10" s="89">
        <f>E10/B10*100</f>
        <v>100.57954697013403</v>
      </c>
    </row>
    <row r="11" spans="1:9" ht="12.75">
      <c r="A11" s="11" t="s">
        <v>12</v>
      </c>
      <c r="B11" s="13">
        <v>531023</v>
      </c>
      <c r="C11" s="13">
        <v>549872</v>
      </c>
      <c r="D11" s="13">
        <v>549872</v>
      </c>
      <c r="E11" s="13">
        <v>534101</v>
      </c>
      <c r="F11" s="44">
        <f>E11/D11*100</f>
        <v>97.13187796432624</v>
      </c>
      <c r="G11" s="89">
        <f>E11/B11*100</f>
        <v>100.57963591030897</v>
      </c>
      <c r="I11" s="69"/>
    </row>
    <row r="12" spans="1:7" ht="12.75">
      <c r="A12" s="11" t="s">
        <v>13</v>
      </c>
      <c r="B12" s="13">
        <v>65193</v>
      </c>
      <c r="C12" s="13">
        <v>51700</v>
      </c>
      <c r="D12" s="13">
        <v>51700</v>
      </c>
      <c r="E12" s="13">
        <v>55180</v>
      </c>
      <c r="F12" s="44">
        <f>E12/D12*100</f>
        <v>106.73114119922631</v>
      </c>
      <c r="G12" s="89">
        <f>E12/B12*100</f>
        <v>84.64098906324298</v>
      </c>
    </row>
    <row r="13" spans="1:7" ht="12.75">
      <c r="A13" s="101" t="s">
        <v>59</v>
      </c>
      <c r="B13" s="13"/>
      <c r="C13" s="13"/>
      <c r="D13" s="13"/>
      <c r="E13" s="13"/>
      <c r="F13" s="44"/>
      <c r="G13" s="89"/>
    </row>
    <row r="14" spans="1:7" ht="12.75">
      <c r="A14" s="11" t="s">
        <v>14</v>
      </c>
      <c r="B14" s="13">
        <v>7327</v>
      </c>
      <c r="C14" s="13">
        <v>5700</v>
      </c>
      <c r="D14" s="13">
        <v>5700</v>
      </c>
      <c r="E14" s="13">
        <v>8514</v>
      </c>
      <c r="F14" s="44">
        <f>E14/D14*100</f>
        <v>149.36842105263156</v>
      </c>
      <c r="G14" s="89">
        <f>E14/B14*100</f>
        <v>116.20035485191758</v>
      </c>
    </row>
    <row r="15" spans="1:7" ht="12.75">
      <c r="A15" s="11" t="s">
        <v>15</v>
      </c>
      <c r="B15" s="13">
        <v>5589</v>
      </c>
      <c r="C15" s="13">
        <v>5000</v>
      </c>
      <c r="D15" s="13">
        <v>5000</v>
      </c>
      <c r="E15" s="13">
        <v>6955</v>
      </c>
      <c r="F15" s="44">
        <f>E15/D15*100</f>
        <v>139.1</v>
      </c>
      <c r="G15" s="89">
        <f>E15/B15*100</f>
        <v>124.44086598675969</v>
      </c>
    </row>
    <row r="16" spans="1:7" ht="12.75">
      <c r="A16" s="11" t="s">
        <v>16</v>
      </c>
      <c r="B16" s="13">
        <v>454</v>
      </c>
      <c r="C16" s="13"/>
      <c r="D16" s="13"/>
      <c r="E16" s="13">
        <v>855</v>
      </c>
      <c r="F16" s="44"/>
      <c r="G16" s="89">
        <f>E16/B16*100</f>
        <v>188.32599118942733</v>
      </c>
    </row>
    <row r="17" spans="1:7" ht="12.75">
      <c r="A17" s="11" t="s">
        <v>17</v>
      </c>
      <c r="B17" s="13">
        <v>35</v>
      </c>
      <c r="C17" s="13"/>
      <c r="D17" s="13"/>
      <c r="E17" s="13">
        <v>8</v>
      </c>
      <c r="F17" s="44"/>
      <c r="G17" s="89">
        <f>E17/B17*100</f>
        <v>22.857142857142858</v>
      </c>
    </row>
    <row r="18" spans="1:7" ht="12.75">
      <c r="A18" s="11" t="s">
        <v>18</v>
      </c>
      <c r="B18" s="13">
        <v>11075</v>
      </c>
      <c r="C18" s="13">
        <v>7050</v>
      </c>
      <c r="D18" s="13">
        <v>7050</v>
      </c>
      <c r="E18" s="13">
        <v>10174</v>
      </c>
      <c r="F18" s="44">
        <f>E18/D18*100</f>
        <v>144.31205673758865</v>
      </c>
      <c r="G18" s="89">
        <f>E18/B18*100</f>
        <v>91.86455981941309</v>
      </c>
    </row>
    <row r="19" spans="1:7" ht="12.75">
      <c r="A19" s="102" t="s">
        <v>60</v>
      </c>
      <c r="B19" s="13"/>
      <c r="C19" s="13"/>
      <c r="D19" s="13"/>
      <c r="E19" s="13"/>
      <c r="F19" s="44"/>
      <c r="G19" s="89"/>
    </row>
    <row r="20" spans="1:7" ht="12.75">
      <c r="A20" s="11" t="s">
        <v>19</v>
      </c>
      <c r="B20" s="13">
        <v>17678</v>
      </c>
      <c r="C20" s="13">
        <v>500</v>
      </c>
      <c r="D20" s="13">
        <v>500</v>
      </c>
      <c r="E20" s="13">
        <v>5503</v>
      </c>
      <c r="F20" s="44">
        <f>E20/D20*100</f>
        <v>1100.6</v>
      </c>
      <c r="G20" s="89">
        <f>E20/B20*100</f>
        <v>31.129087000791944</v>
      </c>
    </row>
    <row r="21" spans="1:7" ht="12.75">
      <c r="A21" s="102" t="s">
        <v>61</v>
      </c>
      <c r="B21" s="13"/>
      <c r="C21" s="13"/>
      <c r="D21" s="13"/>
      <c r="E21" s="13"/>
      <c r="F21" s="44"/>
      <c r="G21" s="89"/>
    </row>
    <row r="22" spans="1:7" ht="12.75" customHeight="1">
      <c r="A22" s="11" t="s">
        <v>20</v>
      </c>
      <c r="B22" s="13"/>
      <c r="C22" s="13"/>
      <c r="D22" s="13"/>
      <c r="E22" s="13"/>
      <c r="F22" s="44"/>
      <c r="G22" s="89"/>
    </row>
    <row r="23" spans="1:7" ht="12.75" customHeight="1">
      <c r="A23" s="11" t="s">
        <v>63</v>
      </c>
      <c r="B23" s="13"/>
      <c r="C23" s="13"/>
      <c r="D23" s="13"/>
      <c r="E23" s="13"/>
      <c r="F23" s="44"/>
      <c r="G23" s="89"/>
    </row>
    <row r="24" spans="1:7" ht="12.75" customHeight="1">
      <c r="A24" s="109" t="s">
        <v>64</v>
      </c>
      <c r="B24" s="13"/>
      <c r="C24" s="13"/>
      <c r="D24" s="13"/>
      <c r="E24" s="13"/>
      <c r="F24" s="44"/>
      <c r="G24" s="89"/>
    </row>
    <row r="25" spans="1:7" ht="13.5" thickBot="1">
      <c r="A25" s="7" t="s">
        <v>21</v>
      </c>
      <c r="B25" s="14">
        <v>55722</v>
      </c>
      <c r="C25" s="14"/>
      <c r="D25" s="14"/>
      <c r="E25" s="14">
        <v>14263</v>
      </c>
      <c r="F25" s="33"/>
      <c r="G25" s="90">
        <f>E25/B25*100</f>
        <v>25.5967122500987</v>
      </c>
    </row>
    <row r="26" spans="1:7" ht="12.75">
      <c r="A26" s="5"/>
      <c r="B26" s="15"/>
      <c r="C26" s="15"/>
      <c r="D26" s="15"/>
      <c r="E26" s="15"/>
      <c r="F26" s="45"/>
      <c r="G26" s="91"/>
    </row>
    <row r="27" spans="1:9" ht="12.75">
      <c r="A27" s="9" t="s">
        <v>22</v>
      </c>
      <c r="B27" s="71">
        <f>B29+B35</f>
        <v>4801813</v>
      </c>
      <c r="C27" s="10">
        <f>C29+C35</f>
        <v>4779551</v>
      </c>
      <c r="D27" s="10">
        <f>D29+D35</f>
        <v>4778398</v>
      </c>
      <c r="E27" s="10">
        <f>E29+E35</f>
        <v>4662360</v>
      </c>
      <c r="F27" s="43">
        <f>E27/D27*100</f>
        <v>97.57161291294697</v>
      </c>
      <c r="G27" s="88">
        <f>E27/B27*100</f>
        <v>97.09582609735115</v>
      </c>
      <c r="I27" s="69"/>
    </row>
    <row r="28" spans="1:7" ht="12.75">
      <c r="A28" s="11" t="s">
        <v>23</v>
      </c>
      <c r="B28" s="13"/>
      <c r="C28" s="13"/>
      <c r="D28" s="13"/>
      <c r="E28" s="13"/>
      <c r="F28" s="44"/>
      <c r="G28" s="89"/>
    </row>
    <row r="29" spans="1:7" ht="12.75">
      <c r="A29" s="106" t="s">
        <v>24</v>
      </c>
      <c r="B29" s="71">
        <f>B31+B32+B33</f>
        <v>477244</v>
      </c>
      <c r="C29" s="10">
        <f>C31+C32+C33</f>
        <v>374769</v>
      </c>
      <c r="D29" s="10">
        <f>D31+D32+D33</f>
        <v>322133</v>
      </c>
      <c r="E29" s="10">
        <f>E31+E32+E33</f>
        <v>253108</v>
      </c>
      <c r="F29" s="43">
        <f>E29/D29*100</f>
        <v>78.57251507917537</v>
      </c>
      <c r="G29" s="88">
        <f>E29/B29*100</f>
        <v>53.035344603599</v>
      </c>
    </row>
    <row r="30" spans="1:7" ht="12.75">
      <c r="A30" s="11" t="s">
        <v>25</v>
      </c>
      <c r="B30" s="13"/>
      <c r="C30" s="13"/>
      <c r="D30" s="13"/>
      <c r="E30" s="13"/>
      <c r="F30" s="44"/>
      <c r="G30" s="89"/>
    </row>
    <row r="31" spans="1:7" ht="12.75">
      <c r="A31" s="11" t="s">
        <v>26</v>
      </c>
      <c r="B31" s="13">
        <v>148193</v>
      </c>
      <c r="C31" s="13">
        <v>148209</v>
      </c>
      <c r="D31" s="13">
        <v>142474</v>
      </c>
      <c r="E31" s="13">
        <v>142325</v>
      </c>
      <c r="F31" s="44">
        <f>E31/D31*100</f>
        <v>99.89541951513961</v>
      </c>
      <c r="G31" s="89">
        <f>E31/B31*100</f>
        <v>96.04029879953843</v>
      </c>
    </row>
    <row r="32" spans="1:7" ht="12.75">
      <c r="A32" s="11" t="s">
        <v>27</v>
      </c>
      <c r="B32" s="13">
        <v>327803</v>
      </c>
      <c r="C32" s="13">
        <v>226560</v>
      </c>
      <c r="D32" s="13">
        <v>178883</v>
      </c>
      <c r="E32" s="13">
        <v>110014</v>
      </c>
      <c r="F32" s="44">
        <f>E32/D32*100</f>
        <v>61.50053386850624</v>
      </c>
      <c r="G32" s="89">
        <f>E32/B32*100</f>
        <v>33.56101072900492</v>
      </c>
    </row>
    <row r="33" spans="1:7" ht="12.75">
      <c r="A33" s="16" t="s">
        <v>28</v>
      </c>
      <c r="B33" s="17">
        <v>1248</v>
      </c>
      <c r="C33" s="17">
        <v>0</v>
      </c>
      <c r="D33" s="17">
        <v>776</v>
      </c>
      <c r="E33" s="17">
        <v>769</v>
      </c>
      <c r="F33" s="46">
        <f>E33/D33*100</f>
        <v>99.0979381443299</v>
      </c>
      <c r="G33" s="120">
        <f>E33/B33*100</f>
        <v>61.618589743589745</v>
      </c>
    </row>
    <row r="34" spans="1:7" ht="12.75">
      <c r="A34" s="5"/>
      <c r="B34" s="15"/>
      <c r="C34" s="15"/>
      <c r="D34" s="15"/>
      <c r="E34" s="15"/>
      <c r="F34" s="45"/>
      <c r="G34" s="91"/>
    </row>
    <row r="35" spans="1:7" ht="12.75">
      <c r="A35" s="9" t="s">
        <v>29</v>
      </c>
      <c r="B35" s="71">
        <f>B37+B40+B41+B42+B43</f>
        <v>4324569</v>
      </c>
      <c r="C35" s="10">
        <f>C37+C43+C40+C41+C42</f>
        <v>4404782</v>
      </c>
      <c r="D35" s="10">
        <f>D37+D43+D40+D41+D42</f>
        <v>4456265</v>
      </c>
      <c r="E35" s="10">
        <f>E37+E43+E40+E41+E42</f>
        <v>4409252</v>
      </c>
      <c r="F35" s="43">
        <f>E35/D35*100</f>
        <v>98.94501336881896</v>
      </c>
      <c r="G35" s="88">
        <f>E35/B35*100</f>
        <v>101.9581835785254</v>
      </c>
    </row>
    <row r="36" spans="1:7" ht="12.75">
      <c r="A36" s="11" t="s">
        <v>25</v>
      </c>
      <c r="B36" s="13"/>
      <c r="C36" s="13"/>
      <c r="D36" s="13"/>
      <c r="E36" s="13"/>
      <c r="F36" s="44"/>
      <c r="G36" s="89"/>
    </row>
    <row r="37" spans="1:7" ht="12.75">
      <c r="A37" s="18" t="s">
        <v>30</v>
      </c>
      <c r="B37" s="27">
        <f>B38+B39</f>
        <v>2375329</v>
      </c>
      <c r="C37" s="19">
        <f>C38+C39</f>
        <v>2408649</v>
      </c>
      <c r="D37" s="19">
        <f>D38+D39</f>
        <v>2408649</v>
      </c>
      <c r="E37" s="19">
        <f>E38+E39</f>
        <v>2408649</v>
      </c>
      <c r="F37" s="47">
        <f aca="true" t="shared" si="0" ref="F37:F43">E37/D37*100</f>
        <v>100</v>
      </c>
      <c r="G37" s="89">
        <f aca="true" t="shared" si="1" ref="G37:G43">E37/B37*100</f>
        <v>101.40275305020904</v>
      </c>
    </row>
    <row r="38" spans="1:7" ht="12.75">
      <c r="A38" s="11" t="s">
        <v>31</v>
      </c>
      <c r="B38" s="13">
        <v>2364514</v>
      </c>
      <c r="C38" s="13">
        <v>2399803</v>
      </c>
      <c r="D38" s="13">
        <v>2399803</v>
      </c>
      <c r="E38" s="13">
        <v>2399803</v>
      </c>
      <c r="F38" s="44">
        <f t="shared" si="0"/>
        <v>100</v>
      </c>
      <c r="G38" s="89">
        <f t="shared" si="1"/>
        <v>101.49244199865173</v>
      </c>
    </row>
    <row r="39" spans="1:7" ht="12.75">
      <c r="A39" s="77" t="s">
        <v>32</v>
      </c>
      <c r="B39" s="13">
        <v>10815</v>
      </c>
      <c r="C39" s="13">
        <v>8846</v>
      </c>
      <c r="D39" s="13">
        <v>8846</v>
      </c>
      <c r="E39" s="13">
        <v>8846</v>
      </c>
      <c r="F39" s="44">
        <f t="shared" si="0"/>
        <v>100</v>
      </c>
      <c r="G39" s="89">
        <f t="shared" si="1"/>
        <v>81.79380490060102</v>
      </c>
    </row>
    <row r="40" spans="1:7" ht="12.75">
      <c r="A40" s="26" t="s">
        <v>33</v>
      </c>
      <c r="B40" s="27">
        <v>830630</v>
      </c>
      <c r="C40" s="27">
        <v>843027</v>
      </c>
      <c r="D40" s="27">
        <v>843027</v>
      </c>
      <c r="E40" s="27">
        <v>843027</v>
      </c>
      <c r="F40" s="48">
        <f t="shared" si="0"/>
        <v>100</v>
      </c>
      <c r="G40" s="89">
        <f t="shared" si="1"/>
        <v>101.49248161034396</v>
      </c>
    </row>
    <row r="41" spans="1:7" ht="12.75">
      <c r="A41" s="26" t="s">
        <v>34</v>
      </c>
      <c r="B41" s="27">
        <v>47290</v>
      </c>
      <c r="C41" s="27">
        <v>47996</v>
      </c>
      <c r="D41" s="27">
        <v>47996</v>
      </c>
      <c r="E41" s="27">
        <v>47996</v>
      </c>
      <c r="F41" s="48">
        <f t="shared" si="0"/>
        <v>100</v>
      </c>
      <c r="G41" s="89">
        <f t="shared" si="1"/>
        <v>101.49291604990485</v>
      </c>
    </row>
    <row r="42" spans="1:7" ht="12.75">
      <c r="A42" s="26" t="s">
        <v>53</v>
      </c>
      <c r="B42" s="27">
        <v>310574</v>
      </c>
      <c r="C42" s="19">
        <v>367338</v>
      </c>
      <c r="D42" s="27">
        <v>367338</v>
      </c>
      <c r="E42" s="27">
        <v>343323</v>
      </c>
      <c r="F42" s="48">
        <f t="shared" si="0"/>
        <v>93.46242425232347</v>
      </c>
      <c r="G42" s="89">
        <f t="shared" si="1"/>
        <v>110.54466890338534</v>
      </c>
    </row>
    <row r="43" spans="1:7" ht="12.75">
      <c r="A43" s="26" t="s">
        <v>36</v>
      </c>
      <c r="B43" s="27">
        <f>B45+B46+B47+B49+B53</f>
        <v>760746</v>
      </c>
      <c r="C43" s="19">
        <f>C45+C46+C47+C49+C53</f>
        <v>737772</v>
      </c>
      <c r="D43" s="19">
        <f>D45+D46+D47+D49+D53</f>
        <v>789255</v>
      </c>
      <c r="E43" s="19">
        <f>E45+E46+E47+E49+E53</f>
        <v>766257</v>
      </c>
      <c r="F43" s="47">
        <f t="shared" si="0"/>
        <v>97.08611285326036</v>
      </c>
      <c r="G43" s="89">
        <f t="shared" si="1"/>
        <v>100.72442050303255</v>
      </c>
    </row>
    <row r="44" spans="1:7" ht="12.75">
      <c r="A44" s="11" t="s">
        <v>37</v>
      </c>
      <c r="B44" s="13"/>
      <c r="C44" s="13"/>
      <c r="D44" s="13"/>
      <c r="E44" s="13"/>
      <c r="F44" s="44"/>
      <c r="G44" s="89"/>
    </row>
    <row r="45" spans="1:7" ht="12.75">
      <c r="A45" s="11" t="s">
        <v>38</v>
      </c>
      <c r="B45" s="13">
        <v>118064</v>
      </c>
      <c r="C45" s="13">
        <v>100340</v>
      </c>
      <c r="D45" s="13">
        <v>111351</v>
      </c>
      <c r="E45" s="13">
        <v>109594</v>
      </c>
      <c r="F45" s="44">
        <f aca="true" t="shared" si="2" ref="F45:F54">E45/D45*100</f>
        <v>98.42210667169581</v>
      </c>
      <c r="G45" s="89">
        <f aca="true" t="shared" si="3" ref="G45:G57">E45/B45*100</f>
        <v>92.82592492207617</v>
      </c>
    </row>
    <row r="46" spans="1:7" ht="12.75">
      <c r="A46" s="11" t="s">
        <v>39</v>
      </c>
      <c r="B46" s="13">
        <v>108618</v>
      </c>
      <c r="C46" s="13">
        <v>117522</v>
      </c>
      <c r="D46" s="13">
        <v>125489</v>
      </c>
      <c r="E46" s="13">
        <v>124885</v>
      </c>
      <c r="F46" s="44">
        <f t="shared" si="2"/>
        <v>99.51868291244651</v>
      </c>
      <c r="G46" s="89">
        <f t="shared" si="3"/>
        <v>114.97633909665063</v>
      </c>
    </row>
    <row r="47" spans="1:7" ht="12.75">
      <c r="A47" s="11" t="s">
        <v>40</v>
      </c>
      <c r="B47" s="13">
        <f>348334+1</f>
        <v>348335</v>
      </c>
      <c r="C47" s="13">
        <v>361000</v>
      </c>
      <c r="D47" s="13">
        <v>391877</v>
      </c>
      <c r="E47" s="13">
        <v>370422</v>
      </c>
      <c r="F47" s="44">
        <f t="shared" si="2"/>
        <v>94.52506781464592</v>
      </c>
      <c r="G47" s="89">
        <f t="shared" si="3"/>
        <v>106.34073521179323</v>
      </c>
    </row>
    <row r="48" spans="1:7" ht="12.75">
      <c r="A48" s="11" t="s">
        <v>41</v>
      </c>
      <c r="B48" s="13">
        <v>75457</v>
      </c>
      <c r="C48" s="13">
        <v>75668</v>
      </c>
      <c r="D48" s="13">
        <v>74693</v>
      </c>
      <c r="E48" s="13">
        <v>73362</v>
      </c>
      <c r="F48" s="44">
        <f t="shared" si="2"/>
        <v>98.21803917368428</v>
      </c>
      <c r="G48" s="89">
        <f t="shared" si="3"/>
        <v>97.22358429304107</v>
      </c>
    </row>
    <row r="49" spans="1:7" ht="12.75">
      <c r="A49" s="11" t="s">
        <v>42</v>
      </c>
      <c r="B49" s="13">
        <v>105247</v>
      </c>
      <c r="C49" s="13">
        <v>103700</v>
      </c>
      <c r="D49" s="13">
        <v>107647</v>
      </c>
      <c r="E49" s="13">
        <v>109501</v>
      </c>
      <c r="F49" s="44">
        <f t="shared" si="2"/>
        <v>101.72229602311258</v>
      </c>
      <c r="G49" s="89">
        <f t="shared" si="3"/>
        <v>104.04192043478675</v>
      </c>
    </row>
    <row r="50" spans="1:7" ht="12.75">
      <c r="A50" s="11" t="s">
        <v>43</v>
      </c>
      <c r="B50" s="13">
        <v>59650</v>
      </c>
      <c r="C50" s="13">
        <v>50485</v>
      </c>
      <c r="D50" s="13">
        <v>56577</v>
      </c>
      <c r="E50" s="13">
        <v>53818</v>
      </c>
      <c r="F50" s="44">
        <f t="shared" si="2"/>
        <v>95.1234600632766</v>
      </c>
      <c r="G50" s="89">
        <f t="shared" si="3"/>
        <v>90.22296730930427</v>
      </c>
    </row>
    <row r="51" spans="1:7" ht="12.75">
      <c r="A51" s="11" t="s">
        <v>44</v>
      </c>
      <c r="B51" s="13">
        <v>1766</v>
      </c>
      <c r="C51" s="13">
        <v>1000</v>
      </c>
      <c r="D51" s="13">
        <v>1800</v>
      </c>
      <c r="E51" s="13">
        <v>1611</v>
      </c>
      <c r="F51" s="44">
        <f t="shared" si="2"/>
        <v>89.5</v>
      </c>
      <c r="G51" s="89">
        <f t="shared" si="3"/>
        <v>91.22310305775765</v>
      </c>
    </row>
    <row r="52" spans="1:7" ht="12.75">
      <c r="A52" s="11" t="s">
        <v>45</v>
      </c>
      <c r="B52" s="13">
        <v>33217</v>
      </c>
      <c r="C52" s="13">
        <v>27742</v>
      </c>
      <c r="D52" s="13">
        <v>32171</v>
      </c>
      <c r="E52" s="13">
        <v>37200</v>
      </c>
      <c r="F52" s="44">
        <f t="shared" si="2"/>
        <v>115.63209101364582</v>
      </c>
      <c r="G52" s="89">
        <f t="shared" si="3"/>
        <v>111.99084805972845</v>
      </c>
    </row>
    <row r="53" spans="1:7" ht="13.5" thickBot="1">
      <c r="A53" s="73" t="s">
        <v>46</v>
      </c>
      <c r="B53" s="74">
        <v>80482</v>
      </c>
      <c r="C53" s="74">
        <f>300+10000+44010+900</f>
        <v>55210</v>
      </c>
      <c r="D53" s="74">
        <v>52891</v>
      </c>
      <c r="E53" s="74">
        <v>51855</v>
      </c>
      <c r="F53" s="75">
        <f t="shared" si="2"/>
        <v>98.04125465580155</v>
      </c>
      <c r="G53" s="92">
        <f t="shared" si="3"/>
        <v>64.4305559006983</v>
      </c>
    </row>
    <row r="54" spans="1:7" ht="12.75">
      <c r="A54" s="11" t="s">
        <v>47</v>
      </c>
      <c r="B54" s="13">
        <v>6551</v>
      </c>
      <c r="C54" s="13">
        <v>6690</v>
      </c>
      <c r="D54" s="13">
        <v>6690</v>
      </c>
      <c r="E54" s="13">
        <v>6202</v>
      </c>
      <c r="F54" s="44">
        <f t="shared" si="2"/>
        <v>92.70553064275038</v>
      </c>
      <c r="G54" s="89">
        <f t="shared" si="3"/>
        <v>94.6725690734239</v>
      </c>
    </row>
    <row r="55" spans="1:7" ht="12.75" hidden="1">
      <c r="A55" s="11" t="s">
        <v>69</v>
      </c>
      <c r="B55" s="13"/>
      <c r="C55" s="13"/>
      <c r="D55" s="13"/>
      <c r="E55" s="13"/>
      <c r="F55" s="44">
        <f>E55/D38*100</f>
        <v>0</v>
      </c>
      <c r="G55" s="89" t="e">
        <f t="shared" si="3"/>
        <v>#DIV/0!</v>
      </c>
    </row>
    <row r="56" spans="1:7" ht="12.75">
      <c r="A56" s="11" t="s">
        <v>48</v>
      </c>
      <c r="B56" s="13">
        <f>B38/B54/12*1000</f>
        <v>30078.283213758714</v>
      </c>
      <c r="C56" s="13">
        <f>C38/C54/12*1000</f>
        <v>29892.912306925762</v>
      </c>
      <c r="D56" s="13">
        <f>D38/D54/12*1000</f>
        <v>29892.912306925762</v>
      </c>
      <c r="E56" s="13">
        <f>E38/E54/12*1000</f>
        <v>32245.015048908954</v>
      </c>
      <c r="F56" s="44">
        <f>E56/D56*100</f>
        <v>107.86842953885842</v>
      </c>
      <c r="G56" s="89">
        <f t="shared" si="3"/>
        <v>107.20364197568001</v>
      </c>
    </row>
    <row r="57" spans="1:8" ht="13.5" thickBot="1">
      <c r="A57" s="7" t="s">
        <v>49</v>
      </c>
      <c r="B57" s="14">
        <f>B43/B54*1000</f>
        <v>116126.69821401313</v>
      </c>
      <c r="C57" s="14">
        <f>C43/C54*1000</f>
        <v>110279.82062780269</v>
      </c>
      <c r="D57" s="14">
        <f>D43/D54*1000</f>
        <v>117975.33632286995</v>
      </c>
      <c r="E57" s="14">
        <f>E43/E54*1000</f>
        <v>123549.98387616898</v>
      </c>
      <c r="F57" s="33">
        <f>E57/D57*100</f>
        <v>104.72526523513572</v>
      </c>
      <c r="G57" s="90">
        <f t="shared" si="3"/>
        <v>106.39240224369013</v>
      </c>
      <c r="H57" s="34"/>
    </row>
    <row r="59" ht="12.75">
      <c r="A59" s="111"/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  <headerFooter alignWithMargins="0">
    <oddHeader>&amp;R&amp;"Arial CE,Tučné"&amp;UPříloha č. 3 c)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J16" sqref="J16"/>
    </sheetView>
  </sheetViews>
  <sheetFormatPr defaultColWidth="9.125" defaultRowHeight="12.75"/>
  <cols>
    <col min="1" max="1" width="33.125" style="2" customWidth="1"/>
    <col min="2" max="2" width="10.375" style="69" customWidth="1"/>
    <col min="3" max="3" width="9.625" style="2" customWidth="1"/>
    <col min="4" max="4" width="9.75390625" style="2" customWidth="1"/>
    <col min="5" max="5" width="10.875" style="2" customWidth="1"/>
    <col min="6" max="6" width="8.00390625" style="2" customWidth="1"/>
    <col min="7" max="8" width="9.125" style="2" customWidth="1"/>
    <col min="9" max="9" width="0" style="2" hidden="1" customWidth="1"/>
    <col min="10" max="16384" width="9.125" style="2" customWidth="1"/>
  </cols>
  <sheetData>
    <row r="1" spans="1:2" ht="12.75">
      <c r="A1" s="1" t="s">
        <v>55</v>
      </c>
      <c r="B1" s="68"/>
    </row>
    <row r="2" ht="12.75">
      <c r="A2" s="2" t="s">
        <v>68</v>
      </c>
    </row>
    <row r="3" spans="1:7" ht="13.5" thickBot="1">
      <c r="A3" s="2" t="s">
        <v>77</v>
      </c>
      <c r="E3" s="3"/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22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7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42" t="s">
        <v>70</v>
      </c>
      <c r="G7" s="23" t="s">
        <v>71</v>
      </c>
    </row>
    <row r="8" spans="1:7" ht="12.75">
      <c r="A8" s="16" t="s">
        <v>9</v>
      </c>
      <c r="B8" s="71">
        <f>B10+B12+B14+B15+B16+B17+B18+B20+B21+B22+B23+B25</f>
        <v>1107956</v>
      </c>
      <c r="C8" s="10">
        <f>C10+C12+C14+C15+C16+C17+C18+C20+C21+C22+C23+C25</f>
        <v>500000</v>
      </c>
      <c r="D8" s="78">
        <f>D10+D12+D14+D15+D16+D17+D18+D20+D21+D22+D23+D25</f>
        <v>500000</v>
      </c>
      <c r="E8" s="78">
        <f>E10+E12+E13+E14+E15+E16+E17+E18+E19+E20+E21+E22+E23+E24+E25</f>
        <v>1194908</v>
      </c>
      <c r="F8" s="43">
        <f>E8/D8*100</f>
        <v>238.98160000000001</v>
      </c>
      <c r="G8" s="98">
        <f>E8/B8*100</f>
        <v>107.84796508164585</v>
      </c>
    </row>
    <row r="9" spans="1:7" ht="12.75">
      <c r="A9" s="11" t="s">
        <v>10</v>
      </c>
      <c r="B9" s="13"/>
      <c r="C9" s="13"/>
      <c r="D9" s="13"/>
      <c r="E9" s="13"/>
      <c r="F9" s="44"/>
      <c r="G9" s="82"/>
    </row>
    <row r="10" spans="1:7" ht="12.75">
      <c r="A10" s="11" t="s">
        <v>11</v>
      </c>
      <c r="B10" s="13"/>
      <c r="C10" s="13"/>
      <c r="D10" s="13"/>
      <c r="E10" s="13"/>
      <c r="F10" s="44"/>
      <c r="G10" s="82"/>
    </row>
    <row r="11" spans="1:9" ht="12.75">
      <c r="A11" s="11" t="s">
        <v>12</v>
      </c>
      <c r="B11" s="13"/>
      <c r="C11" s="13"/>
      <c r="D11" s="13"/>
      <c r="E11" s="13"/>
      <c r="F11" s="44"/>
      <c r="G11" s="82"/>
      <c r="I11" s="69"/>
    </row>
    <row r="12" spans="1:9" ht="12.75">
      <c r="A12" s="11" t="s">
        <v>13</v>
      </c>
      <c r="B12" s="13">
        <v>3651</v>
      </c>
      <c r="C12" s="13"/>
      <c r="D12" s="13">
        <v>695</v>
      </c>
      <c r="E12" s="13">
        <v>4079</v>
      </c>
      <c r="F12" s="44">
        <f>E12/D12*100</f>
        <v>586.9064748201438</v>
      </c>
      <c r="G12" s="82">
        <f>E12/B12*100</f>
        <v>111.72281566694056</v>
      </c>
      <c r="I12" s="2" t="s">
        <v>56</v>
      </c>
    </row>
    <row r="13" spans="1:7" ht="12.75">
      <c r="A13" s="101" t="s">
        <v>59</v>
      </c>
      <c r="B13" s="13"/>
      <c r="C13" s="13"/>
      <c r="D13" s="13"/>
      <c r="E13" s="13"/>
      <c r="F13" s="44"/>
      <c r="G13" s="82"/>
    </row>
    <row r="14" spans="1:7" ht="12.75">
      <c r="A14" s="11" t="s">
        <v>14</v>
      </c>
      <c r="B14" s="13">
        <v>148259</v>
      </c>
      <c r="C14" s="13">
        <v>90050</v>
      </c>
      <c r="D14" s="13">
        <v>87201</v>
      </c>
      <c r="E14" s="13">
        <v>171475</v>
      </c>
      <c r="F14" s="44">
        <f>E14/D14*100</f>
        <v>196.64338711712023</v>
      </c>
      <c r="G14" s="82">
        <f>E14/B14*100</f>
        <v>115.65908309107711</v>
      </c>
    </row>
    <row r="15" spans="1:7" ht="12.75">
      <c r="A15" s="11" t="s">
        <v>15</v>
      </c>
      <c r="B15" s="13">
        <v>440</v>
      </c>
      <c r="C15" s="13">
        <v>150</v>
      </c>
      <c r="D15" s="13">
        <v>540</v>
      </c>
      <c r="E15" s="13">
        <v>533</v>
      </c>
      <c r="F15" s="44">
        <f>E15/D15*100</f>
        <v>98.70370370370371</v>
      </c>
      <c r="G15" s="82">
        <f>E15/B15*100</f>
        <v>121.13636363636364</v>
      </c>
    </row>
    <row r="16" spans="1:7" ht="12.75">
      <c r="A16" s="11" t="s">
        <v>16</v>
      </c>
      <c r="B16" s="13">
        <v>46</v>
      </c>
      <c r="C16" s="13"/>
      <c r="D16" s="13">
        <v>11</v>
      </c>
      <c r="E16" s="13">
        <v>82</v>
      </c>
      <c r="F16" s="44">
        <f>E16/D16*100</f>
        <v>745.4545454545454</v>
      </c>
      <c r="G16" s="82">
        <f>E16/B16*100</f>
        <v>178.26086956521738</v>
      </c>
    </row>
    <row r="17" spans="1:7" ht="12.75">
      <c r="A17" s="11" t="s">
        <v>17</v>
      </c>
      <c r="B17" s="13">
        <v>4966</v>
      </c>
      <c r="C17" s="13">
        <v>4000</v>
      </c>
      <c r="D17" s="13">
        <v>1591</v>
      </c>
      <c r="E17" s="13">
        <v>8384</v>
      </c>
      <c r="F17" s="44">
        <f>E17/D17*100</f>
        <v>526.9641734758013</v>
      </c>
      <c r="G17" s="82">
        <f>E17/B17*100</f>
        <v>168.82803060813532</v>
      </c>
    </row>
    <row r="18" spans="1:7" ht="12.75">
      <c r="A18" s="11" t="s">
        <v>18</v>
      </c>
      <c r="B18" s="13">
        <v>163159</v>
      </c>
      <c r="C18" s="13">
        <v>95800</v>
      </c>
      <c r="D18" s="13">
        <v>62570</v>
      </c>
      <c r="E18" s="13">
        <v>169042</v>
      </c>
      <c r="F18" s="44">
        <f>E18/D18*100</f>
        <v>270.16461563049387</v>
      </c>
      <c r="G18" s="82">
        <f>E18/B18*100</f>
        <v>103.60568525180958</v>
      </c>
    </row>
    <row r="19" spans="1:7" ht="12.75">
      <c r="A19" s="102" t="s">
        <v>60</v>
      </c>
      <c r="B19" s="13"/>
      <c r="C19" s="13"/>
      <c r="D19" s="13"/>
      <c r="E19" s="13"/>
      <c r="F19" s="44"/>
      <c r="G19" s="82"/>
    </row>
    <row r="20" spans="1:7" ht="12.75">
      <c r="A20" s="11" t="s">
        <v>19</v>
      </c>
      <c r="B20" s="13">
        <v>695780</v>
      </c>
      <c r="C20" s="13">
        <v>300000</v>
      </c>
      <c r="D20" s="13">
        <v>337973</v>
      </c>
      <c r="E20" s="13">
        <v>702876</v>
      </c>
      <c r="F20" s="44">
        <f>E20/D20*100</f>
        <v>207.96809212570233</v>
      </c>
      <c r="G20" s="82">
        <f>E20/B20*100</f>
        <v>101.0198626002472</v>
      </c>
    </row>
    <row r="21" spans="1:7" ht="12.75">
      <c r="A21" s="102" t="s">
        <v>61</v>
      </c>
      <c r="B21" s="13">
        <v>42099</v>
      </c>
      <c r="C21" s="13">
        <v>10000</v>
      </c>
      <c r="D21" s="13">
        <v>9419</v>
      </c>
      <c r="E21" s="13">
        <v>35702</v>
      </c>
      <c r="F21" s="44">
        <f>E21/D21*100</f>
        <v>379.04236118483914</v>
      </c>
      <c r="G21" s="82">
        <f>E21/B21*100</f>
        <v>84.80486472362763</v>
      </c>
    </row>
    <row r="22" spans="1:7" ht="12.75" customHeight="1">
      <c r="A22" s="11" t="s">
        <v>20</v>
      </c>
      <c r="B22" s="13">
        <v>1</v>
      </c>
      <c r="C22" s="13"/>
      <c r="D22" s="13"/>
      <c r="E22" s="13"/>
      <c r="F22" s="44"/>
      <c r="G22" s="82">
        <f>E22/B22*100</f>
        <v>0</v>
      </c>
    </row>
    <row r="23" spans="1:7" ht="12.75" customHeight="1">
      <c r="A23" s="11" t="s">
        <v>63</v>
      </c>
      <c r="B23" s="13"/>
      <c r="C23" s="13"/>
      <c r="D23" s="13"/>
      <c r="E23" s="13"/>
      <c r="F23" s="44"/>
      <c r="G23" s="82"/>
    </row>
    <row r="24" spans="1:7" ht="12.75" customHeight="1">
      <c r="A24" s="109" t="s">
        <v>64</v>
      </c>
      <c r="B24" s="13"/>
      <c r="C24" s="13"/>
      <c r="D24" s="13"/>
      <c r="E24" s="13"/>
      <c r="F24" s="44"/>
      <c r="G24" s="82"/>
    </row>
    <row r="25" spans="1:7" ht="13.5" thickBot="1">
      <c r="A25" s="7" t="s">
        <v>21</v>
      </c>
      <c r="B25" s="74">
        <v>49555</v>
      </c>
      <c r="C25" s="14"/>
      <c r="D25" s="14"/>
      <c r="E25" s="14">
        <v>102735</v>
      </c>
      <c r="F25" s="33"/>
      <c r="G25" s="99">
        <f>E25/B25*100</f>
        <v>207.31510442942187</v>
      </c>
    </row>
    <row r="26" spans="1:7" ht="12.75">
      <c r="A26" s="5"/>
      <c r="B26" s="15"/>
      <c r="C26" s="15"/>
      <c r="D26" s="15"/>
      <c r="E26" s="15"/>
      <c r="F26" s="45"/>
      <c r="G26" s="100"/>
    </row>
    <row r="27" spans="1:7" ht="12.75">
      <c r="A27" s="106" t="s">
        <v>22</v>
      </c>
      <c r="B27" s="71">
        <f>B29+B35</f>
        <v>1660138</v>
      </c>
      <c r="C27" s="10">
        <f>C29+C35</f>
        <v>1852871</v>
      </c>
      <c r="D27" s="10">
        <f>D29+D35</f>
        <v>1817497</v>
      </c>
      <c r="E27" s="10">
        <f>E29+E35</f>
        <v>1812848</v>
      </c>
      <c r="F27" s="43">
        <f>E27/D27*100</f>
        <v>99.74420865619035</v>
      </c>
      <c r="G27" s="98">
        <f>E27/B27*100</f>
        <v>109.19863288473609</v>
      </c>
    </row>
    <row r="28" spans="1:9" ht="12.75">
      <c r="A28" s="11" t="s">
        <v>23</v>
      </c>
      <c r="B28" s="13"/>
      <c r="C28" s="13"/>
      <c r="D28" s="13"/>
      <c r="E28" s="13"/>
      <c r="F28" s="44"/>
      <c r="G28" s="82"/>
      <c r="I28" s="123" t="s">
        <v>74</v>
      </c>
    </row>
    <row r="29" spans="1:9" ht="12.75">
      <c r="A29" s="106" t="s">
        <v>24</v>
      </c>
      <c r="B29" s="71">
        <f>B31+B32+B33</f>
        <v>148524</v>
      </c>
      <c r="C29" s="10">
        <f>C31+C32+C33</f>
        <v>140067</v>
      </c>
      <c r="D29" s="10">
        <f>D31+D32+D33</f>
        <v>122085</v>
      </c>
      <c r="E29" s="128">
        <f>E31+E32+E33</f>
        <v>111628</v>
      </c>
      <c r="F29" s="43">
        <f>E29/D29*100</f>
        <v>91.43465618216815</v>
      </c>
      <c r="G29" s="98">
        <f>E29/B29*100</f>
        <v>75.15822358676039</v>
      </c>
      <c r="I29" s="124" t="e">
        <f>#REF!-E29</f>
        <v>#REF!</v>
      </c>
    </row>
    <row r="30" spans="1:7" ht="12.75">
      <c r="A30" s="11" t="s">
        <v>25</v>
      </c>
      <c r="B30" s="13"/>
      <c r="C30" s="13"/>
      <c r="D30" s="13"/>
      <c r="E30" s="105"/>
      <c r="F30" s="44"/>
      <c r="G30" s="82"/>
    </row>
    <row r="31" spans="1:7" ht="12.75">
      <c r="A31" s="11" t="s">
        <v>26</v>
      </c>
      <c r="B31" s="13">
        <v>67704</v>
      </c>
      <c r="C31" s="13">
        <v>64650</v>
      </c>
      <c r="D31" s="13">
        <v>40349</v>
      </c>
      <c r="E31" s="105">
        <v>34307</v>
      </c>
      <c r="F31" s="44">
        <f>E31/D31*100</f>
        <v>85.02565119333812</v>
      </c>
      <c r="G31" s="82">
        <f>E31/B31*100</f>
        <v>50.67204301075269</v>
      </c>
    </row>
    <row r="32" spans="1:7" ht="12.75">
      <c r="A32" s="11" t="s">
        <v>27</v>
      </c>
      <c r="B32" s="13">
        <v>80566</v>
      </c>
      <c r="C32" s="13">
        <v>75417</v>
      </c>
      <c r="D32" s="13">
        <v>81629</v>
      </c>
      <c r="E32" s="105">
        <v>77215</v>
      </c>
      <c r="F32" s="44">
        <f>E32/D32*100</f>
        <v>94.59260801920885</v>
      </c>
      <c r="G32" s="82">
        <f>E32/B32*100</f>
        <v>95.8406772087481</v>
      </c>
    </row>
    <row r="33" spans="1:9" ht="12.75">
      <c r="A33" s="16" t="s">
        <v>28</v>
      </c>
      <c r="B33" s="17">
        <v>254</v>
      </c>
      <c r="C33" s="17"/>
      <c r="D33" s="17">
        <v>107</v>
      </c>
      <c r="E33" s="129">
        <v>106</v>
      </c>
      <c r="F33" s="46"/>
      <c r="G33" s="98">
        <f>E33/B33*100</f>
        <v>41.732283464566926</v>
      </c>
      <c r="I33" s="122" t="s">
        <v>72</v>
      </c>
    </row>
    <row r="34" spans="1:9" ht="12.75">
      <c r="A34" s="5"/>
      <c r="B34" s="15"/>
      <c r="C34" s="15"/>
      <c r="D34" s="15"/>
      <c r="E34" s="130"/>
      <c r="F34" s="45"/>
      <c r="G34" s="100"/>
      <c r="I34" s="97" t="s">
        <v>73</v>
      </c>
    </row>
    <row r="35" spans="1:9" ht="12.75">
      <c r="A35" s="106" t="s">
        <v>29</v>
      </c>
      <c r="B35" s="71">
        <f>B37+B40+B41+B42+B43</f>
        <v>1511614</v>
      </c>
      <c r="C35" s="10">
        <f>C37+C43+C40+C41+C42</f>
        <v>1712804</v>
      </c>
      <c r="D35" s="10">
        <f>D37+D43+D40+D41+D42</f>
        <v>1695412</v>
      </c>
      <c r="E35" s="128">
        <f>E37+E43+E40+E41+E42</f>
        <v>1701220</v>
      </c>
      <c r="F35" s="43">
        <f>E35/D35*100</f>
        <v>100.34257159911573</v>
      </c>
      <c r="G35" s="98">
        <f>E35/B35*100</f>
        <v>112.54328155203643</v>
      </c>
      <c r="I35" s="121" t="e">
        <f>#REF!-E35</f>
        <v>#REF!</v>
      </c>
    </row>
    <row r="36" spans="1:7" ht="12.75">
      <c r="A36" s="11" t="s">
        <v>25</v>
      </c>
      <c r="B36" s="13"/>
      <c r="C36" s="13"/>
      <c r="D36" s="13"/>
      <c r="E36" s="105"/>
      <c r="F36" s="44"/>
      <c r="G36" s="82"/>
    </row>
    <row r="37" spans="1:7" ht="12.75">
      <c r="A37" s="18" t="s">
        <v>30</v>
      </c>
      <c r="B37" s="27">
        <f>B38+B39</f>
        <v>616497</v>
      </c>
      <c r="C37" s="19">
        <f>C38+C39</f>
        <v>711859</v>
      </c>
      <c r="D37" s="19">
        <f>D38+D39</f>
        <v>687579</v>
      </c>
      <c r="E37" s="19">
        <f>E38+E39</f>
        <v>631435</v>
      </c>
      <c r="F37" s="47">
        <f>E37/D37*100</f>
        <v>91.83453828578243</v>
      </c>
      <c r="G37" s="82">
        <f>E37/B37*100</f>
        <v>102.42304504320379</v>
      </c>
    </row>
    <row r="38" spans="1:9" ht="12.75">
      <c r="A38" s="11" t="s">
        <v>31</v>
      </c>
      <c r="B38" s="13">
        <v>610843</v>
      </c>
      <c r="C38" s="13">
        <f>572983+120064</f>
        <v>693047</v>
      </c>
      <c r="D38" s="13">
        <v>681047</v>
      </c>
      <c r="E38" s="13">
        <v>626145</v>
      </c>
      <c r="F38" s="44">
        <f>E38/D38*100</f>
        <v>91.93858867302845</v>
      </c>
      <c r="G38" s="82">
        <f>E38/B38*100</f>
        <v>102.50506267567934</v>
      </c>
      <c r="I38" s="125" t="e">
        <f>I29+I35</f>
        <v>#REF!</v>
      </c>
    </row>
    <row r="39" spans="1:9" ht="12.75">
      <c r="A39" s="77" t="s">
        <v>32</v>
      </c>
      <c r="B39" s="13">
        <v>5654</v>
      </c>
      <c r="C39" s="13">
        <f>10012+8800</f>
        <v>18812</v>
      </c>
      <c r="D39" s="13">
        <v>6532</v>
      </c>
      <c r="E39" s="13">
        <v>5290</v>
      </c>
      <c r="F39" s="44">
        <f>E39/D39*100</f>
        <v>80.98591549295774</v>
      </c>
      <c r="G39" s="82">
        <f>E39/B39*100</f>
        <v>93.56207994340289</v>
      </c>
      <c r="I39" s="126" t="s">
        <v>75</v>
      </c>
    </row>
    <row r="40" spans="1:10" ht="12.75">
      <c r="A40" s="26" t="s">
        <v>33</v>
      </c>
      <c r="B40" s="27">
        <v>215095</v>
      </c>
      <c r="C40" s="27">
        <v>249151</v>
      </c>
      <c r="D40" s="27">
        <v>238651</v>
      </c>
      <c r="E40" s="27">
        <v>219551</v>
      </c>
      <c r="F40" s="48">
        <f>E40/D40*100</f>
        <v>91.99668134640123</v>
      </c>
      <c r="G40" s="82">
        <f>E40/B40*100</f>
        <v>102.07164276250029</v>
      </c>
      <c r="J40" s="2" t="s">
        <v>56</v>
      </c>
    </row>
    <row r="41" spans="1:7" ht="12.75">
      <c r="A41" s="26" t="s">
        <v>34</v>
      </c>
      <c r="B41" s="27">
        <v>13529</v>
      </c>
      <c r="C41" s="27">
        <v>13861</v>
      </c>
      <c r="D41" s="27">
        <v>13261</v>
      </c>
      <c r="E41" s="27">
        <v>13260</v>
      </c>
      <c r="F41" s="48">
        <f>E41/D41*100</f>
        <v>99.99245909056633</v>
      </c>
      <c r="G41" s="82">
        <f>E41/B41*100</f>
        <v>98.01167861630572</v>
      </c>
    </row>
    <row r="42" spans="1:7" ht="12.75">
      <c r="A42" s="26" t="s">
        <v>53</v>
      </c>
      <c r="B42" s="27">
        <v>0</v>
      </c>
      <c r="C42" s="19">
        <v>0</v>
      </c>
      <c r="D42" s="27">
        <v>0</v>
      </c>
      <c r="E42" s="27">
        <v>0</v>
      </c>
      <c r="F42" s="48"/>
      <c r="G42" s="82"/>
    </row>
    <row r="43" spans="1:7" ht="12.75">
      <c r="A43" s="26" t="s">
        <v>36</v>
      </c>
      <c r="B43" s="27">
        <f>B45+B46+B47+B49+B53</f>
        <v>666493</v>
      </c>
      <c r="C43" s="19">
        <f>C45+C46+C47+C49+C53</f>
        <v>737933</v>
      </c>
      <c r="D43" s="19">
        <f>D45+D46+D47+D49+D53</f>
        <v>755921</v>
      </c>
      <c r="E43" s="19">
        <f>E45+E46+E47+E49+E53</f>
        <v>836974</v>
      </c>
      <c r="F43" s="47">
        <f>E43/D43*100</f>
        <v>110.72241676048158</v>
      </c>
      <c r="G43" s="82">
        <f>E43/B43*100</f>
        <v>125.57881328085966</v>
      </c>
    </row>
    <row r="44" spans="1:7" ht="12.75">
      <c r="A44" s="11" t="s">
        <v>37</v>
      </c>
      <c r="B44" s="13"/>
      <c r="C44" s="13"/>
      <c r="D44" s="13"/>
      <c r="E44" s="13"/>
      <c r="F44" s="44"/>
      <c r="G44" s="82"/>
    </row>
    <row r="45" spans="1:7" ht="12.75">
      <c r="A45" s="11" t="s">
        <v>38</v>
      </c>
      <c r="B45" s="104">
        <f>33298-1</f>
        <v>33297</v>
      </c>
      <c r="C45" s="104">
        <v>33650</v>
      </c>
      <c r="D45" s="104">
        <v>39530</v>
      </c>
      <c r="E45" s="104">
        <v>36623</v>
      </c>
      <c r="F45" s="44">
        <f aca="true" t="shared" si="0" ref="F45:F54">E45/D45*100</f>
        <v>92.64609157601822</v>
      </c>
      <c r="G45" s="82">
        <f aca="true" t="shared" si="1" ref="G45:G57">E45/B45*100</f>
        <v>109.9888878877977</v>
      </c>
    </row>
    <row r="46" spans="1:7" ht="12.75">
      <c r="A46" s="11" t="s">
        <v>39</v>
      </c>
      <c r="B46" s="13">
        <v>79430</v>
      </c>
      <c r="C46" s="13">
        <v>131000</v>
      </c>
      <c r="D46" s="13">
        <v>85057</v>
      </c>
      <c r="E46" s="13">
        <v>82264</v>
      </c>
      <c r="F46" s="44">
        <f t="shared" si="0"/>
        <v>96.7163196444737</v>
      </c>
      <c r="G46" s="82">
        <f t="shared" si="1"/>
        <v>103.56792144026186</v>
      </c>
    </row>
    <row r="47" spans="1:8" ht="12.75">
      <c r="A47" s="11" t="s">
        <v>40</v>
      </c>
      <c r="B47" s="13">
        <v>409580</v>
      </c>
      <c r="C47" s="13">
        <v>417142</v>
      </c>
      <c r="D47" s="13">
        <v>466733</v>
      </c>
      <c r="E47" s="13">
        <v>532000</v>
      </c>
      <c r="F47" s="44">
        <f t="shared" si="0"/>
        <v>113.98379801728183</v>
      </c>
      <c r="G47" s="82">
        <f t="shared" si="1"/>
        <v>129.88915474388398</v>
      </c>
      <c r="H47" s="97"/>
    </row>
    <row r="48" spans="1:7" ht="12.75">
      <c r="A48" s="11" t="s">
        <v>41</v>
      </c>
      <c r="B48" s="13">
        <f>8119+51</f>
        <v>8170</v>
      </c>
      <c r="C48" s="13">
        <f>7780+100</f>
        <v>7880</v>
      </c>
      <c r="D48" s="13">
        <f>7558+22</f>
        <v>7580</v>
      </c>
      <c r="E48" s="13">
        <f>7374+20</f>
        <v>7394</v>
      </c>
      <c r="F48" s="44">
        <f t="shared" si="0"/>
        <v>97.54617414248021</v>
      </c>
      <c r="G48" s="82">
        <f t="shared" si="1"/>
        <v>90.50183598531211</v>
      </c>
    </row>
    <row r="49" spans="1:7" ht="12.75">
      <c r="A49" s="11" t="s">
        <v>42</v>
      </c>
      <c r="B49" s="13">
        <v>99291</v>
      </c>
      <c r="C49" s="13">
        <v>128141</v>
      </c>
      <c r="D49" s="13">
        <v>120437</v>
      </c>
      <c r="E49" s="13">
        <v>125693</v>
      </c>
      <c r="F49" s="44">
        <f t="shared" si="0"/>
        <v>104.36410737564037</v>
      </c>
      <c r="G49" s="82">
        <f t="shared" si="1"/>
        <v>126.59052683526201</v>
      </c>
    </row>
    <row r="50" spans="1:7" ht="12.75">
      <c r="A50" s="11" t="s">
        <v>43</v>
      </c>
      <c r="B50" s="13">
        <v>95899</v>
      </c>
      <c r="C50" s="13">
        <v>91157</v>
      </c>
      <c r="D50" s="13">
        <v>108879</v>
      </c>
      <c r="E50" s="13">
        <v>121176</v>
      </c>
      <c r="F50" s="44">
        <f t="shared" si="0"/>
        <v>111.2941889620588</v>
      </c>
      <c r="G50" s="82">
        <f t="shared" si="1"/>
        <v>126.35793908174224</v>
      </c>
    </row>
    <row r="51" spans="1:7" ht="12.75">
      <c r="A51" s="11" t="s">
        <v>44</v>
      </c>
      <c r="B51" s="13">
        <v>32</v>
      </c>
      <c r="C51" s="13">
        <v>33484</v>
      </c>
      <c r="D51" s="13">
        <v>7423</v>
      </c>
      <c r="E51" s="13">
        <v>843</v>
      </c>
      <c r="F51" s="44">
        <f t="shared" si="0"/>
        <v>11.356594368853564</v>
      </c>
      <c r="G51" s="82">
        <f t="shared" si="1"/>
        <v>2634.375</v>
      </c>
    </row>
    <row r="52" spans="1:7" ht="12.75">
      <c r="A52" s="11" t="s">
        <v>45</v>
      </c>
      <c r="B52" s="13">
        <v>2265</v>
      </c>
      <c r="C52" s="13">
        <v>2373</v>
      </c>
      <c r="D52" s="13">
        <v>2903</v>
      </c>
      <c r="E52" s="13">
        <v>2596</v>
      </c>
      <c r="F52" s="44">
        <f t="shared" si="0"/>
        <v>89.42473303479159</v>
      </c>
      <c r="G52" s="82">
        <f t="shared" si="1"/>
        <v>114.61368653421633</v>
      </c>
    </row>
    <row r="53" spans="1:7" ht="13.5" thickBot="1">
      <c r="A53" s="73" t="s">
        <v>46</v>
      </c>
      <c r="B53" s="74">
        <v>44895</v>
      </c>
      <c r="C53" s="74">
        <f>200+200+23000+2500+2100</f>
        <v>28000</v>
      </c>
      <c r="D53" s="74">
        <v>44164</v>
      </c>
      <c r="E53" s="74">
        <v>60394</v>
      </c>
      <c r="F53" s="75">
        <f t="shared" si="0"/>
        <v>136.74938864233312</v>
      </c>
      <c r="G53" s="84">
        <f t="shared" si="1"/>
        <v>134.52277536473994</v>
      </c>
    </row>
    <row r="54" spans="1:7" ht="12.75">
      <c r="A54" s="11" t="s">
        <v>47</v>
      </c>
      <c r="B54" s="13">
        <v>2027</v>
      </c>
      <c r="C54" s="13">
        <v>2267</v>
      </c>
      <c r="D54" s="13">
        <v>2247</v>
      </c>
      <c r="E54" s="13">
        <v>1987</v>
      </c>
      <c r="F54" s="44">
        <f t="shared" si="0"/>
        <v>88.42901646639964</v>
      </c>
      <c r="G54" s="82">
        <f t="shared" si="1"/>
        <v>98.02664035520473</v>
      </c>
    </row>
    <row r="55" spans="1:7" ht="12.75" hidden="1">
      <c r="A55" s="11" t="s">
        <v>69</v>
      </c>
      <c r="B55" s="13"/>
      <c r="C55" s="13"/>
      <c r="D55" s="13"/>
      <c r="E55" s="13"/>
      <c r="F55" s="44">
        <f>E55/D38*100</f>
        <v>0</v>
      </c>
      <c r="G55" s="82" t="e">
        <f t="shared" si="1"/>
        <v>#DIV/0!</v>
      </c>
    </row>
    <row r="56" spans="1:7" ht="12.75">
      <c r="A56" s="11" t="s">
        <v>48</v>
      </c>
      <c r="B56" s="13">
        <f>B38/B54/12*1000</f>
        <v>25112.769281368197</v>
      </c>
      <c r="C56" s="13">
        <f>C38/C54/12*1000</f>
        <v>25475.922658432584</v>
      </c>
      <c r="D56" s="13">
        <f>D38/D54/12*1000</f>
        <v>25257.63981605103</v>
      </c>
      <c r="E56" s="13">
        <f>E38/E54/12*1000</f>
        <v>26260.065425264216</v>
      </c>
      <c r="F56" s="44">
        <f>E56/D56*100</f>
        <v>103.96880158444634</v>
      </c>
      <c r="G56" s="82">
        <f t="shared" si="1"/>
        <v>104.56857677081129</v>
      </c>
    </row>
    <row r="57" spans="1:8" ht="13.5" thickBot="1">
      <c r="A57" s="7" t="s">
        <v>49</v>
      </c>
      <c r="B57" s="14">
        <f>B43/B54*1000</f>
        <v>328807.5974346324</v>
      </c>
      <c r="C57" s="14">
        <f>C43/C54*1000</f>
        <v>325510.8072342302</v>
      </c>
      <c r="D57" s="14">
        <f>D43/D54*1000</f>
        <v>336413.44014241215</v>
      </c>
      <c r="E57" s="14">
        <f>ROUND(E43/E54*1000,0)</f>
        <v>421225</v>
      </c>
      <c r="F57" s="33">
        <f>E57/D57*100</f>
        <v>125.21051472309937</v>
      </c>
      <c r="G57" s="99">
        <f t="shared" si="1"/>
        <v>128.10683308001737</v>
      </c>
      <c r="H57" s="34"/>
    </row>
    <row r="59" ht="12.75">
      <c r="A59" s="111"/>
    </row>
    <row r="61" spans="2:3" ht="12.75">
      <c r="B61" s="107"/>
      <c r="C61" s="69"/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  <headerFooter alignWithMargins="0">
    <oddHeader>&amp;R&amp;"Arial CE,Tučné"&amp;UPříloha č. 3 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K49" sqref="K48:K49"/>
    </sheetView>
  </sheetViews>
  <sheetFormatPr defaultColWidth="9.125" defaultRowHeight="12.75"/>
  <cols>
    <col min="1" max="1" width="33.125" style="2" customWidth="1"/>
    <col min="2" max="2" width="9.625" style="69" customWidth="1"/>
    <col min="3" max="3" width="9.875" style="2" customWidth="1"/>
    <col min="4" max="4" width="10.625" style="2" customWidth="1"/>
    <col min="5" max="5" width="11.625" style="2" customWidth="1"/>
    <col min="6" max="6" width="8.00390625" style="2" customWidth="1"/>
    <col min="7" max="16384" width="9.125" style="2" customWidth="1"/>
  </cols>
  <sheetData>
    <row r="1" spans="1:2" ht="12.75">
      <c r="A1" s="1" t="s">
        <v>57</v>
      </c>
      <c r="B1" s="68"/>
    </row>
    <row r="2" ht="12.75">
      <c r="A2" s="2" t="s">
        <v>68</v>
      </c>
    </row>
    <row r="3" spans="1:7" ht="13.5" thickBot="1">
      <c r="A3" s="2" t="s">
        <v>77</v>
      </c>
      <c r="E3" s="3"/>
      <c r="G3" s="35"/>
    </row>
    <row r="4" spans="1:7" ht="12.75">
      <c r="A4" s="4"/>
      <c r="B4" s="72">
        <v>2007</v>
      </c>
      <c r="C4" s="38"/>
      <c r="D4" s="38">
        <v>2008</v>
      </c>
      <c r="E4" s="38"/>
      <c r="F4" s="39"/>
      <c r="G4" s="22" t="s">
        <v>62</v>
      </c>
    </row>
    <row r="5" spans="1:7" ht="12.75">
      <c r="A5" s="5" t="s">
        <v>1</v>
      </c>
      <c r="B5" s="70" t="s">
        <v>2</v>
      </c>
      <c r="C5" s="40" t="s">
        <v>65</v>
      </c>
      <c r="D5" s="41"/>
      <c r="E5" s="36" t="s">
        <v>2</v>
      </c>
      <c r="F5" s="36" t="s">
        <v>3</v>
      </c>
      <c r="G5" s="22" t="s">
        <v>4</v>
      </c>
    </row>
    <row r="6" spans="1:7" ht="13.5" thickBot="1">
      <c r="A6" s="7"/>
      <c r="B6" s="42" t="s">
        <v>66</v>
      </c>
      <c r="C6" s="37" t="s">
        <v>5</v>
      </c>
      <c r="D6" s="37" t="s">
        <v>78</v>
      </c>
      <c r="E6" s="37" t="s">
        <v>67</v>
      </c>
      <c r="F6" s="37" t="s">
        <v>6</v>
      </c>
      <c r="G6" s="57" t="s">
        <v>7</v>
      </c>
    </row>
    <row r="7" spans="1:7" ht="13.5" thickBot="1">
      <c r="A7" s="7" t="s">
        <v>8</v>
      </c>
      <c r="B7" s="42">
        <v>1</v>
      </c>
      <c r="C7" s="8">
        <v>2</v>
      </c>
      <c r="D7" s="8">
        <v>3</v>
      </c>
      <c r="E7" s="8">
        <v>5</v>
      </c>
      <c r="F7" s="42" t="s">
        <v>70</v>
      </c>
      <c r="G7" s="23" t="s">
        <v>71</v>
      </c>
    </row>
    <row r="8" spans="1:10" ht="12.75">
      <c r="A8" s="9" t="s">
        <v>9</v>
      </c>
      <c r="B8" s="10">
        <f>SUM(MFC:ÚZSVM!B8)</f>
        <v>2565828</v>
      </c>
      <c r="C8" s="10">
        <f>SUM(MFC:ÚZSVM!C8)</f>
        <v>2161952</v>
      </c>
      <c r="D8" s="10">
        <f>SUM(MFC:ÚZSVM!D8)</f>
        <v>2178974</v>
      </c>
      <c r="E8" s="10">
        <f>SUM(MFC:ÚZSVM!E8)</f>
        <v>4451686</v>
      </c>
      <c r="F8" s="43">
        <f>E8/D8*100</f>
        <v>204.30193292806615</v>
      </c>
      <c r="G8" s="93">
        <f>E8/B8*100</f>
        <v>173.499003050867</v>
      </c>
      <c r="I8" s="34"/>
      <c r="J8" s="34"/>
    </row>
    <row r="9" spans="1:10" ht="12.75">
      <c r="A9" s="5" t="s">
        <v>10</v>
      </c>
      <c r="B9" s="15">
        <f>B10+B12+B14+B15+B16+B17+B18+B20+B21+B22+B23+B25</f>
        <v>2565828</v>
      </c>
      <c r="C9" s="15"/>
      <c r="D9" s="15">
        <f>D10+D12+D14+D15+D16+D17++D18+D19+D20+D21+D22+D23+D24+D25</f>
        <v>2178974</v>
      </c>
      <c r="E9" s="15">
        <f>E10+E12+E13+E14+E15+E16+E17+E18+E19+E20+E21+E22+E23+E24+E25</f>
        <v>4451686</v>
      </c>
      <c r="F9" s="45"/>
      <c r="G9" s="91"/>
      <c r="I9" s="86"/>
      <c r="J9" s="34"/>
    </row>
    <row r="10" spans="1:10" ht="12.75">
      <c r="A10" s="11" t="s">
        <v>11</v>
      </c>
      <c r="B10" s="13">
        <f>SUM(MFC:ÚZSVM!B10)</f>
        <v>644814</v>
      </c>
      <c r="C10" s="13">
        <f>SUM(MFC:ÚZSVM!C10)</f>
        <v>667701</v>
      </c>
      <c r="D10" s="13">
        <f>SUM(MFC:ÚZSVM!D10)</f>
        <v>667701</v>
      </c>
      <c r="E10" s="13">
        <f>SUM(MFC:ÚZSVM!E10)</f>
        <v>648551</v>
      </c>
      <c r="F10" s="44">
        <f>E10/D10*100</f>
        <v>97.13194977991645</v>
      </c>
      <c r="G10" s="89">
        <f>E10/B10*100</f>
        <v>100.57954697013403</v>
      </c>
      <c r="H10" s="69"/>
      <c r="I10" s="34"/>
      <c r="J10" s="34"/>
    </row>
    <row r="11" spans="1:10" ht="12.75">
      <c r="A11" s="11" t="s">
        <v>12</v>
      </c>
      <c r="B11" s="13">
        <f>SUM(MFC:ÚZSVM!B11)</f>
        <v>531023</v>
      </c>
      <c r="C11" s="13">
        <f>SUM(MFC:ÚZSVM!C11)</f>
        <v>549872</v>
      </c>
      <c r="D11" s="13">
        <f>SUM(MFC:ÚZSVM!D11)</f>
        <v>549872</v>
      </c>
      <c r="E11" s="13">
        <f>SUM(MFC:ÚZSVM!E11)</f>
        <v>534101</v>
      </c>
      <c r="F11" s="44">
        <f>E11/D11*100</f>
        <v>97.13187796432624</v>
      </c>
      <c r="G11" s="89">
        <f>E11/B11*100</f>
        <v>100.57963591030897</v>
      </c>
      <c r="I11" s="34"/>
      <c r="J11" s="34"/>
    </row>
    <row r="12" spans="1:10" ht="12.75">
      <c r="A12" s="11" t="s">
        <v>13</v>
      </c>
      <c r="B12" s="13">
        <f>SUM(MFC:ÚZSVM!B12)</f>
        <v>75585</v>
      </c>
      <c r="C12" s="13">
        <f>SUM(MFC:ÚZSVM!C12)</f>
        <v>742251</v>
      </c>
      <c r="D12" s="13">
        <f>SUM(MFC:ÚZSVM!D12)</f>
        <v>742065</v>
      </c>
      <c r="E12" s="13">
        <f>SUM(MFC:ÚZSVM!E12)</f>
        <v>67437</v>
      </c>
      <c r="F12" s="44">
        <f>E12/D12*100</f>
        <v>9.08774837783752</v>
      </c>
      <c r="G12" s="89">
        <f>E12/B12*100</f>
        <v>89.220083349871</v>
      </c>
      <c r="I12" s="103"/>
      <c r="J12" s="87"/>
    </row>
    <row r="13" spans="1:10" ht="12.75">
      <c r="A13" s="101" t="s">
        <v>59</v>
      </c>
      <c r="B13" s="13"/>
      <c r="C13" s="13">
        <f>SUM(MFC:ÚZSVM!C13)</f>
        <v>0</v>
      </c>
      <c r="D13" s="13"/>
      <c r="E13" s="13"/>
      <c r="F13" s="44"/>
      <c r="G13" s="89"/>
      <c r="I13" s="34"/>
      <c r="J13" s="34"/>
    </row>
    <row r="14" spans="1:10" ht="12.75">
      <c r="A14" s="11" t="s">
        <v>14</v>
      </c>
      <c r="B14" s="13">
        <f>SUM(MFC:ÚZSVM!B14)</f>
        <v>180195</v>
      </c>
      <c r="C14" s="13">
        <f>SUM(MFC:ÚZSVM!C14)</f>
        <v>126394</v>
      </c>
      <c r="D14" s="13">
        <f>SUM(MFC:ÚZSVM!D14)</f>
        <v>126236</v>
      </c>
      <c r="E14" s="13">
        <f>SUM(MFC:ÚZSVM!E14)</f>
        <v>224486</v>
      </c>
      <c r="F14" s="44">
        <f>E14/D14*100</f>
        <v>177.83041287746758</v>
      </c>
      <c r="G14" s="89">
        <f>E14/B14*100</f>
        <v>124.57948333749549</v>
      </c>
      <c r="I14" s="87"/>
      <c r="J14" s="87"/>
    </row>
    <row r="15" spans="1:10" ht="12.75">
      <c r="A15" s="11" t="s">
        <v>15</v>
      </c>
      <c r="B15" s="13">
        <f>SUM(MFC:ÚZSVM!B15)</f>
        <v>10659</v>
      </c>
      <c r="C15" s="13">
        <f>SUM(MFC:ÚZSVM!C15)</f>
        <v>11550</v>
      </c>
      <c r="D15" s="13">
        <f>SUM(MFC:ÚZSVM!D15)</f>
        <v>11289</v>
      </c>
      <c r="E15" s="13">
        <f>SUM(MFC:ÚZSVM!E15)</f>
        <v>146815</v>
      </c>
      <c r="F15" s="44">
        <f>E15/D15*100</f>
        <v>1300.5137744707238</v>
      </c>
      <c r="G15" s="89">
        <f>E15/B15*100</f>
        <v>1377.380617318698</v>
      </c>
      <c r="I15" s="87"/>
      <c r="J15" s="87"/>
    </row>
    <row r="16" spans="1:10" ht="12.75">
      <c r="A16" s="11" t="s">
        <v>16</v>
      </c>
      <c r="B16" s="13">
        <f>SUM(MFC:ÚZSVM!B16)</f>
        <v>864</v>
      </c>
      <c r="C16" s="13">
        <f>SUM(MFC:ÚZSVM!C16)</f>
        <v>0</v>
      </c>
      <c r="D16" s="13">
        <f>SUM(MFC:ÚZSVM!D16)</f>
        <v>11</v>
      </c>
      <c r="E16" s="13">
        <f>SUM(MFC:ÚZSVM!E16)</f>
        <v>16772</v>
      </c>
      <c r="F16" s="44">
        <f>E16/D16*100</f>
        <v>152472.72727272726</v>
      </c>
      <c r="G16" s="89">
        <f>E16/B16*100</f>
        <v>1941.203703703704</v>
      </c>
      <c r="I16" s="87"/>
      <c r="J16" s="87"/>
    </row>
    <row r="17" spans="1:10" ht="12.75">
      <c r="A17" s="11" t="s">
        <v>17</v>
      </c>
      <c r="B17" s="13">
        <f>SUM(MFC:ÚZSVM!B17)</f>
        <v>5169</v>
      </c>
      <c r="C17" s="13">
        <f>SUM(MFC:ÚZSVM!C17)</f>
        <v>4029</v>
      </c>
      <c r="D17" s="13">
        <f>SUM(MFC:ÚZSVM!D17)</f>
        <v>1613</v>
      </c>
      <c r="E17" s="13">
        <f>SUM(MFC:ÚZSVM!E17)</f>
        <v>8487</v>
      </c>
      <c r="F17" s="44">
        <f>E17/D17*100</f>
        <v>526.1624302541848</v>
      </c>
      <c r="G17" s="89">
        <f>E17/B17*100</f>
        <v>164.19036564132327</v>
      </c>
      <c r="I17" s="87"/>
      <c r="J17" s="87"/>
    </row>
    <row r="18" spans="1:10" ht="12.75">
      <c r="A18" s="11" t="s">
        <v>18</v>
      </c>
      <c r="B18" s="13">
        <f>SUM(MFC:ÚZSVM!B18)</f>
        <v>202226</v>
      </c>
      <c r="C18" s="13">
        <f>SUM(MFC:ÚZSVM!C18)</f>
        <v>110886</v>
      </c>
      <c r="D18" s="13">
        <f>SUM(MFC:ÚZSVM!D18)</f>
        <v>76694</v>
      </c>
      <c r="E18" s="13">
        <f>SUM(MFC:ÚZSVM!E18)</f>
        <v>402998</v>
      </c>
      <c r="F18" s="44">
        <f>E18/D18*100</f>
        <v>525.4622265105484</v>
      </c>
      <c r="G18" s="89">
        <f>E18/B18*100</f>
        <v>199.2810024428115</v>
      </c>
      <c r="I18" s="87"/>
      <c r="J18" s="87"/>
    </row>
    <row r="19" spans="1:10" ht="12.75">
      <c r="A19" s="102" t="s">
        <v>60</v>
      </c>
      <c r="B19" s="13"/>
      <c r="C19" s="13">
        <f>SUM(MFC:ÚZSVM!C19)</f>
        <v>0</v>
      </c>
      <c r="D19" s="13">
        <f>SUM(MFC:ÚZSVM!D19)</f>
        <v>0</v>
      </c>
      <c r="E19" s="13">
        <f>SUM(MFC:ÚZSVM!E19)</f>
        <v>1300778</v>
      </c>
      <c r="F19" s="44"/>
      <c r="G19" s="89"/>
      <c r="I19" s="34"/>
      <c r="J19" s="34"/>
    </row>
    <row r="20" spans="1:10" ht="12.75">
      <c r="A20" s="11" t="s">
        <v>19</v>
      </c>
      <c r="B20" s="13">
        <f>SUM(MFC:ÚZSVM!B20)</f>
        <v>725358</v>
      </c>
      <c r="C20" s="13">
        <f>SUM(MFC:ÚZSVM!C20)</f>
        <v>381133</v>
      </c>
      <c r="D20" s="13">
        <f>SUM(MFC:ÚZSVM!D20)</f>
        <v>418916</v>
      </c>
      <c r="E20" s="13">
        <f>SUM(MFC:ÚZSVM!E20)</f>
        <v>828507</v>
      </c>
      <c r="F20" s="44">
        <f>E20/D20*100</f>
        <v>197.77401674798767</v>
      </c>
      <c r="G20" s="89">
        <f>E20/B20*100</f>
        <v>114.22042632741349</v>
      </c>
      <c r="I20" s="87"/>
      <c r="J20" s="87"/>
    </row>
    <row r="21" spans="1:10" ht="12.75">
      <c r="A21" s="102" t="s">
        <v>61</v>
      </c>
      <c r="B21" s="13">
        <f>SUM(MFC:ÚZSVM!B21)</f>
        <v>42099</v>
      </c>
      <c r="C21" s="13">
        <f>SUM(MFC:ÚZSVM!C21)</f>
        <v>10000</v>
      </c>
      <c r="D21" s="13">
        <f>SUM(MFC:ÚZSVM!D21)</f>
        <v>9419</v>
      </c>
      <c r="E21" s="13">
        <f>SUM(MFC:ÚZSVM!E21)</f>
        <v>35702</v>
      </c>
      <c r="F21" s="44">
        <f>E21/D21*100</f>
        <v>379.04236118483914</v>
      </c>
      <c r="G21" s="89">
        <f>E21/B21*100</f>
        <v>84.80486472362763</v>
      </c>
      <c r="I21" s="34"/>
      <c r="J21" s="34"/>
    </row>
    <row r="22" spans="1:10" ht="12.75" customHeight="1">
      <c r="A22" s="11" t="s">
        <v>20</v>
      </c>
      <c r="B22" s="13">
        <f>SUM(MFC:ÚZSVM!B22)</f>
        <v>191</v>
      </c>
      <c r="C22" s="13">
        <f>SUM(MFC:ÚZSVM!C22)</f>
        <v>0</v>
      </c>
      <c r="D22" s="13">
        <f>SUM(MFC:ÚZSVM!D22)</f>
        <v>0</v>
      </c>
      <c r="E22" s="13">
        <f>SUM(MFC:ÚZSVM!E22)</f>
        <v>0</v>
      </c>
      <c r="F22" s="44">
        <v>0</v>
      </c>
      <c r="G22" s="89">
        <f>E22/B22*100</f>
        <v>0</v>
      </c>
      <c r="I22" s="34"/>
      <c r="J22" s="87"/>
    </row>
    <row r="23" spans="1:10" ht="12.75" customHeight="1">
      <c r="A23" s="11" t="s">
        <v>63</v>
      </c>
      <c r="B23" s="13">
        <f>SUM(MFC:ÚZSVM!B23)</f>
        <v>276</v>
      </c>
      <c r="C23" s="13">
        <f>SUM(MFC:ÚZSVM!C23)</f>
        <v>108008</v>
      </c>
      <c r="D23" s="13">
        <f>SUM(MFC:ÚZSVM!D23)</f>
        <v>125030</v>
      </c>
      <c r="E23" s="13">
        <f>SUM(MFC:ÚZSVM!E23)</f>
        <v>6936</v>
      </c>
      <c r="F23" s="44">
        <f>E23/D23*100</f>
        <v>5.547468607534191</v>
      </c>
      <c r="G23" s="89">
        <f>E23/B23*100</f>
        <v>2513.0434782608695</v>
      </c>
      <c r="I23" s="34"/>
      <c r="J23" s="87"/>
    </row>
    <row r="24" spans="1:10" ht="12.75" customHeight="1">
      <c r="A24" s="109" t="s">
        <v>64</v>
      </c>
      <c r="B24" s="13">
        <f>SUM(MFC:ÚZSVM!B24)</f>
        <v>0</v>
      </c>
      <c r="C24" s="13">
        <f>SUM(MFC:ÚZSVM!C24)</f>
        <v>0</v>
      </c>
      <c r="D24" s="110">
        <f>SUM(MFC:ÚZSVM!D24)</f>
        <v>0</v>
      </c>
      <c r="E24" s="13">
        <f>SUM(MFC:ÚZSVM!E24)</f>
        <v>0</v>
      </c>
      <c r="F24" s="44" t="e">
        <f>E24/D24*100</f>
        <v>#DIV/0!</v>
      </c>
      <c r="G24" s="89">
        <v>0</v>
      </c>
      <c r="I24" s="34"/>
      <c r="J24" s="87"/>
    </row>
    <row r="25" spans="1:10" ht="13.5" thickBot="1">
      <c r="A25" s="7" t="s">
        <v>21</v>
      </c>
      <c r="B25" s="14">
        <f>SUM(MFC:ÚZSVM!B25)</f>
        <v>678392</v>
      </c>
      <c r="C25" s="14">
        <f>SUM(MFC:ÚZSVM!C25)</f>
        <v>0</v>
      </c>
      <c r="D25" s="14">
        <f>SUM(MFC:ÚZSVM!D25)</f>
        <v>0</v>
      </c>
      <c r="E25" s="14">
        <f>SUM(MFC:ÚZSVM!E25)</f>
        <v>764217</v>
      </c>
      <c r="F25" s="33"/>
      <c r="G25" s="90">
        <f>E25/B25*100</f>
        <v>112.65123999103763</v>
      </c>
      <c r="I25" s="34"/>
      <c r="J25" s="87"/>
    </row>
    <row r="26" spans="1:10" ht="12.75">
      <c r="A26" s="5"/>
      <c r="B26" s="15"/>
      <c r="C26" s="15"/>
      <c r="D26" s="15"/>
      <c r="E26" s="15"/>
      <c r="F26" s="45"/>
      <c r="G26" s="91"/>
      <c r="I26" s="34"/>
      <c r="J26" s="34"/>
    </row>
    <row r="27" spans="1:10" ht="12.75">
      <c r="A27" s="9" t="s">
        <v>22</v>
      </c>
      <c r="B27" s="10">
        <f>SUM(MFC:ÚZSVM!B27)+1</f>
        <v>16366270.19</v>
      </c>
      <c r="C27" s="10">
        <f>SUM(MFC:ÚZSVM!C27)</f>
        <v>17346215</v>
      </c>
      <c r="D27" s="10">
        <f>SUM(MFC:ÚZSVM!D27)</f>
        <v>17776386</v>
      </c>
      <c r="E27" s="10">
        <f>SUM(MFC:ÚZSVM!E27)</f>
        <v>17315365</v>
      </c>
      <c r="F27" s="43">
        <f>E27/D27*100</f>
        <v>97.4065538405838</v>
      </c>
      <c r="G27" s="88">
        <f>E27/B27*100</f>
        <v>105.79909044016584</v>
      </c>
      <c r="I27" s="34"/>
      <c r="J27" s="34"/>
    </row>
    <row r="28" spans="1:10" ht="12.75">
      <c r="A28" s="5" t="s">
        <v>23</v>
      </c>
      <c r="B28" s="15"/>
      <c r="C28" s="15"/>
      <c r="D28" s="15"/>
      <c r="E28" s="15"/>
      <c r="F28" s="45"/>
      <c r="G28" s="91"/>
      <c r="I28" s="34"/>
      <c r="J28" s="34"/>
    </row>
    <row r="29" spans="1:10" ht="12.75">
      <c r="A29" s="20" t="s">
        <v>24</v>
      </c>
      <c r="B29" s="21">
        <f>SUM(MFC:ÚZSVM!B29)</f>
        <v>1383413</v>
      </c>
      <c r="C29" s="21">
        <f>SUM(MFC:ÚZSVM!C29)</f>
        <v>1480445</v>
      </c>
      <c r="D29" s="21">
        <f>SUM(MFC:ÚZSVM!D29)</f>
        <v>1594378</v>
      </c>
      <c r="E29" s="21">
        <f>SUM(MFC:ÚZSVM!E29)-1</f>
        <v>1410922</v>
      </c>
      <c r="F29" s="49">
        <f>E29/D29*100</f>
        <v>88.49356927905427</v>
      </c>
      <c r="G29" s="95">
        <f>E29/B29*100</f>
        <v>101.98848789190214</v>
      </c>
      <c r="I29" s="87"/>
      <c r="J29" s="87"/>
    </row>
    <row r="30" spans="1:10" ht="12.75">
      <c r="A30" s="11" t="s">
        <v>25</v>
      </c>
      <c r="B30" s="13"/>
      <c r="C30" s="13"/>
      <c r="D30" s="13"/>
      <c r="E30" s="127"/>
      <c r="F30" s="44"/>
      <c r="G30" s="89"/>
      <c r="I30" s="34"/>
      <c r="J30" s="34"/>
    </row>
    <row r="31" spans="1:10" ht="12.75">
      <c r="A31" s="11" t="s">
        <v>26</v>
      </c>
      <c r="B31" s="13">
        <f>SUM(MFC:ÚZSVM!B31)</f>
        <v>685085</v>
      </c>
      <c r="C31" s="13">
        <f>SUM(MFC:ÚZSVM!C31)</f>
        <v>694816</v>
      </c>
      <c r="D31" s="13">
        <f>SUM(MFC:ÚZSVM!D31)</f>
        <v>746026</v>
      </c>
      <c r="E31" s="13">
        <f>SUM(MFC:ÚZSVM!E31)-1</f>
        <v>608633</v>
      </c>
      <c r="F31" s="44">
        <f>E31/D31*100</f>
        <v>81.58334964196958</v>
      </c>
      <c r="G31" s="89">
        <f>E31/B31*100</f>
        <v>88.84050884196851</v>
      </c>
      <c r="I31" s="87"/>
      <c r="J31" s="87"/>
    </row>
    <row r="32" spans="1:11" ht="12.75">
      <c r="A32" s="11" t="s">
        <v>27</v>
      </c>
      <c r="B32" s="13">
        <f>SUM(MFC:ÚZSVM!B32)</f>
        <v>696826</v>
      </c>
      <c r="C32" s="13">
        <f>SUM(MFC:ÚZSVM!C32)</f>
        <v>785629</v>
      </c>
      <c r="D32" s="13">
        <f>SUM(MFC:ÚZSVM!D32)</f>
        <v>846136</v>
      </c>
      <c r="E32" s="13">
        <f>SUM(MFC:ÚZSVM!E32)</f>
        <v>799728</v>
      </c>
      <c r="F32" s="44">
        <f>E32/D32*100</f>
        <v>94.51530250456192</v>
      </c>
      <c r="G32" s="89">
        <f>E32/B32*100</f>
        <v>114.7672446206083</v>
      </c>
      <c r="I32" s="87"/>
      <c r="J32" s="87"/>
      <c r="K32" s="34"/>
    </row>
    <row r="33" spans="1:11" ht="12.75">
      <c r="A33" s="16" t="s">
        <v>28</v>
      </c>
      <c r="B33" s="17">
        <f>SUM(MFC:ÚZSVM!B33)</f>
        <v>1502</v>
      </c>
      <c r="C33" s="17">
        <f>SUM(MFC:ÚZSVM!C33)</f>
        <v>0</v>
      </c>
      <c r="D33" s="17">
        <f>SUM(MFC:ÚZSVM!D33)</f>
        <v>2216</v>
      </c>
      <c r="E33" s="17">
        <f>SUM(MFC:ÚZSVM!E33)</f>
        <v>2561</v>
      </c>
      <c r="F33" s="46">
        <f>E33/D33*100</f>
        <v>115.56859205776173</v>
      </c>
      <c r="G33" s="88">
        <f>E33/B33*100</f>
        <v>170.50599201065245</v>
      </c>
      <c r="I33" s="87"/>
      <c r="J33" s="87"/>
      <c r="K33" s="34"/>
    </row>
    <row r="34" spans="1:11" ht="12.75">
      <c r="A34" s="5"/>
      <c r="B34" s="15"/>
      <c r="C34" s="15"/>
      <c r="D34" s="15"/>
      <c r="E34" s="15"/>
      <c r="F34" s="45"/>
      <c r="G34" s="91"/>
      <c r="I34" s="87"/>
      <c r="J34" s="87"/>
      <c r="K34" s="34"/>
    </row>
    <row r="35" spans="1:11" ht="12.75">
      <c r="A35" s="20" t="s">
        <v>29</v>
      </c>
      <c r="B35" s="21">
        <f>B37+B40+B41+B43+B42</f>
        <v>14982857.19</v>
      </c>
      <c r="C35" s="21">
        <f>C37+C40+C41+C43+C42</f>
        <v>15865770</v>
      </c>
      <c r="D35" s="21">
        <f>D37+D40+D41+D43+D42</f>
        <v>16182008</v>
      </c>
      <c r="E35" s="21">
        <f>E37+E40+E41+E43+E42</f>
        <v>15904443</v>
      </c>
      <c r="F35" s="49">
        <f>E35/D35*100</f>
        <v>98.28473079484326</v>
      </c>
      <c r="G35" s="95">
        <f>E35/B35*100</f>
        <v>106.15093502069215</v>
      </c>
      <c r="H35" s="69"/>
      <c r="I35" s="87"/>
      <c r="J35" s="87"/>
      <c r="K35" s="34"/>
    </row>
    <row r="36" spans="1:11" ht="12.75">
      <c r="A36" s="11" t="s">
        <v>25</v>
      </c>
      <c r="B36" s="13"/>
      <c r="C36" s="13"/>
      <c r="D36" s="13"/>
      <c r="E36" s="13"/>
      <c r="F36" s="44"/>
      <c r="G36" s="89"/>
      <c r="I36" s="87"/>
      <c r="J36" s="87"/>
      <c r="K36" s="34"/>
    </row>
    <row r="37" spans="1:11" ht="12.75">
      <c r="A37" s="18" t="s">
        <v>30</v>
      </c>
      <c r="B37" s="19">
        <f>SUM(MFC:ÚZSVM!B37)</f>
        <v>7984615</v>
      </c>
      <c r="C37" s="19">
        <f>SUM(MFC:ÚZSVM!C37)</f>
        <v>8244030</v>
      </c>
      <c r="D37" s="19">
        <f>SUM(MFC:ÚZSVM!D37)</f>
        <v>8261302</v>
      </c>
      <c r="E37" s="19">
        <f>SUM(MFC:ÚZSVM!E37)</f>
        <v>8201213</v>
      </c>
      <c r="F37" s="47">
        <f aca="true" t="shared" si="0" ref="F37:F43">E37/D37*100</f>
        <v>99.27264491722975</v>
      </c>
      <c r="G37" s="89">
        <f aca="true" t="shared" si="1" ref="G37:G43">E37/B37*100</f>
        <v>102.71269184550538</v>
      </c>
      <c r="I37" s="87"/>
      <c r="J37" s="87"/>
      <c r="K37" s="34"/>
    </row>
    <row r="38" spans="1:11" ht="12.75">
      <c r="A38" s="11" t="s">
        <v>31</v>
      </c>
      <c r="B38" s="13">
        <f>SUM(MFC:ÚZSVM!B38)</f>
        <v>7933716</v>
      </c>
      <c r="C38" s="13">
        <f>SUM(MFC:ÚZSVM!C38)</f>
        <v>8185308</v>
      </c>
      <c r="D38" s="13">
        <f>SUM(MFC:ÚZSVM!D38)</f>
        <v>8212060</v>
      </c>
      <c r="E38" s="13">
        <f>SUM(MFC:ÚZSVM!E38)</f>
        <v>8154626</v>
      </c>
      <c r="F38" s="44">
        <f t="shared" si="0"/>
        <v>99.3006139750562</v>
      </c>
      <c r="G38" s="89">
        <f t="shared" si="1"/>
        <v>102.784445523384</v>
      </c>
      <c r="I38" s="87"/>
      <c r="J38" s="87"/>
      <c r="K38" s="34"/>
    </row>
    <row r="39" spans="1:11" ht="12.75">
      <c r="A39" s="77" t="s">
        <v>32</v>
      </c>
      <c r="B39" s="13">
        <f>SUM(MFC:ÚZSVM!B39)</f>
        <v>50899</v>
      </c>
      <c r="C39" s="13">
        <f>SUM(MFC:ÚZSVM!C39)</f>
        <v>58722</v>
      </c>
      <c r="D39" s="13">
        <f>SUM(MFC:ÚZSVM!D39)</f>
        <v>49242</v>
      </c>
      <c r="E39" s="13">
        <f>SUM(MFC:ÚZSVM!E39)</f>
        <v>46587</v>
      </c>
      <c r="F39" s="44">
        <f t="shared" si="0"/>
        <v>94.60826124040453</v>
      </c>
      <c r="G39" s="89">
        <f t="shared" si="1"/>
        <v>91.52832079215702</v>
      </c>
      <c r="H39" s="69"/>
      <c r="I39" s="87"/>
      <c r="J39" s="87"/>
      <c r="K39" s="34"/>
    </row>
    <row r="40" spans="1:11" ht="12.75">
      <c r="A40" s="26" t="s">
        <v>33</v>
      </c>
      <c r="B40" s="27">
        <f>SUM(MFC:ÚZSVM!B40)+1</f>
        <v>2789595</v>
      </c>
      <c r="C40" s="19">
        <f>SUM(MFC:ÚZSVM!C40)</f>
        <v>2885407</v>
      </c>
      <c r="D40" s="19">
        <f>SUM(MFC:ÚZSVM!D40)</f>
        <v>2889471</v>
      </c>
      <c r="E40" s="19">
        <f>SUM(MFC:ÚZSVM!E40)+1</f>
        <v>2866180</v>
      </c>
      <c r="F40" s="44">
        <f t="shared" si="0"/>
        <v>99.19393549892006</v>
      </c>
      <c r="G40" s="89">
        <f t="shared" si="1"/>
        <v>102.74538060184364</v>
      </c>
      <c r="H40" s="69"/>
      <c r="I40" s="87"/>
      <c r="J40" s="87" t="s">
        <v>56</v>
      </c>
      <c r="K40" s="34"/>
    </row>
    <row r="41" spans="1:11" ht="12.75">
      <c r="A41" s="26" t="s">
        <v>34</v>
      </c>
      <c r="B41" s="27">
        <f>SUM(MFC:ÚZSVM!B41)+1</f>
        <v>160020</v>
      </c>
      <c r="C41" s="19">
        <f>SUM(MFC:ÚZSVM!C41)</f>
        <v>163707</v>
      </c>
      <c r="D41" s="19">
        <f>SUM(MFC:ÚZSVM!D41)</f>
        <v>163898</v>
      </c>
      <c r="E41" s="19">
        <f>SUM(MFC:ÚZSVM!E41)+1</f>
        <v>163866</v>
      </c>
      <c r="F41" s="44">
        <f t="shared" si="0"/>
        <v>99.98047566169203</v>
      </c>
      <c r="G41" s="89">
        <f t="shared" si="1"/>
        <v>102.4034495688039</v>
      </c>
      <c r="H41" s="69"/>
      <c r="I41" s="87"/>
      <c r="J41" s="87"/>
      <c r="K41" s="34"/>
    </row>
    <row r="42" spans="1:11" ht="12.75">
      <c r="A42" s="18" t="s">
        <v>53</v>
      </c>
      <c r="B42" s="27">
        <f>SUM(MFC:ÚZSVM!B42)</f>
        <v>310574</v>
      </c>
      <c r="C42" s="19">
        <f>SUM(MFC:ÚZSVM!C42)</f>
        <v>367338</v>
      </c>
      <c r="D42" s="19">
        <f>SUM(MFC:ÚZSVM!D42)</f>
        <v>367338</v>
      </c>
      <c r="E42" s="19">
        <f>SUM(MFC:ÚZSVM!E42)</f>
        <v>343323</v>
      </c>
      <c r="F42" s="44">
        <f t="shared" si="0"/>
        <v>93.46242425232347</v>
      </c>
      <c r="G42" s="89">
        <f t="shared" si="1"/>
        <v>110.54466890338534</v>
      </c>
      <c r="H42" s="69"/>
      <c r="I42" s="87"/>
      <c r="J42" s="87"/>
      <c r="K42" s="34"/>
    </row>
    <row r="43" spans="1:11" ht="12.75">
      <c r="A43" s="18" t="s">
        <v>36</v>
      </c>
      <c r="B43" s="19">
        <f>B45+B46+B47+B49+B53</f>
        <v>3738053.19</v>
      </c>
      <c r="C43" s="19">
        <f>SUM(MFC:ÚZSVM!C43)</f>
        <v>4205288</v>
      </c>
      <c r="D43" s="19">
        <f>SUM(MFC:ÚZSVM!D43)</f>
        <v>4499999</v>
      </c>
      <c r="E43" s="19">
        <f>SUM(MFC:ÚZSVM!E43)-1</f>
        <v>4329861</v>
      </c>
      <c r="F43" s="47">
        <f t="shared" si="0"/>
        <v>96.21915471536772</v>
      </c>
      <c r="G43" s="89">
        <f t="shared" si="1"/>
        <v>115.8319793731988</v>
      </c>
      <c r="I43" s="87"/>
      <c r="J43" s="87"/>
      <c r="K43" s="34"/>
    </row>
    <row r="44" spans="1:11" ht="12.75">
      <c r="A44" s="11" t="s">
        <v>37</v>
      </c>
      <c r="B44" s="13"/>
      <c r="C44" s="13"/>
      <c r="D44" s="13"/>
      <c r="E44" s="13"/>
      <c r="F44" s="44"/>
      <c r="G44" s="89"/>
      <c r="I44" s="87"/>
      <c r="J44" s="87"/>
      <c r="K44" s="34"/>
    </row>
    <row r="45" spans="1:11" ht="12.75">
      <c r="A45" s="11" t="s">
        <v>38</v>
      </c>
      <c r="B45" s="13">
        <f>SUM(MFC:ÚZSVM!B45)</f>
        <v>407773</v>
      </c>
      <c r="C45" s="13">
        <f>SUM(MFC:ÚZSVM!C45)</f>
        <v>376765</v>
      </c>
      <c r="D45" s="13">
        <f>SUM(MFC:ÚZSVM!D45)</f>
        <v>416009</v>
      </c>
      <c r="E45" s="13">
        <f>SUM(MFC:ÚZSVM!E45)</f>
        <v>399075</v>
      </c>
      <c r="F45" s="44">
        <f aca="true" t="shared" si="2" ref="F45:F54">E45/D45*100</f>
        <v>95.92941498861803</v>
      </c>
      <c r="G45" s="89">
        <f aca="true" t="shared" si="3" ref="G45:G57">E45/B45*100</f>
        <v>97.86695048470595</v>
      </c>
      <c r="I45" s="87"/>
      <c r="J45" s="87"/>
      <c r="K45" s="34"/>
    </row>
    <row r="46" spans="1:11" ht="12.75">
      <c r="A46" s="11" t="s">
        <v>39</v>
      </c>
      <c r="B46" s="13">
        <f>SUM(MFC:ÚZSVM!B46)</f>
        <v>374792.19</v>
      </c>
      <c r="C46" s="13">
        <f>SUM(MFC:ÚZSVM!C46)</f>
        <v>491262</v>
      </c>
      <c r="D46" s="13">
        <f>SUM(MFC:ÚZSVM!D46)</f>
        <v>447120</v>
      </c>
      <c r="E46" s="13">
        <f>SUM(MFC:ÚZSVM!E46)+1</f>
        <v>434042</v>
      </c>
      <c r="F46" s="44">
        <f t="shared" si="2"/>
        <v>97.07505814993738</v>
      </c>
      <c r="G46" s="89">
        <f t="shared" si="3"/>
        <v>115.80870988800487</v>
      </c>
      <c r="I46" s="87"/>
      <c r="J46" s="87"/>
      <c r="K46" s="34"/>
    </row>
    <row r="47" spans="1:11" ht="12.75">
      <c r="A47" s="11" t="s">
        <v>40</v>
      </c>
      <c r="B47" s="13">
        <f>SUM(MFC:ÚZSVM!B47)</f>
        <v>2071278</v>
      </c>
      <c r="C47" s="13">
        <f>SUM(MFC:ÚZSVM!C47)</f>
        <v>2403370</v>
      </c>
      <c r="D47" s="13">
        <f>SUM(MFC:ÚZSVM!D47)</f>
        <v>2707840</v>
      </c>
      <c r="E47" s="13">
        <f>SUM(MFC:ÚZSVM!E47)-1</f>
        <v>2598516</v>
      </c>
      <c r="F47" s="44">
        <f t="shared" si="2"/>
        <v>95.9626861262113</v>
      </c>
      <c r="G47" s="89">
        <f t="shared" si="3"/>
        <v>125.45471926028277</v>
      </c>
      <c r="I47" s="87"/>
      <c r="J47" s="87"/>
      <c r="K47" s="34"/>
    </row>
    <row r="48" spans="1:11" ht="12.75">
      <c r="A48" s="11" t="s">
        <v>41</v>
      </c>
      <c r="B48" s="13">
        <f>SUM(MFC:ÚZSVM!B48)</f>
        <v>236647</v>
      </c>
      <c r="C48" s="13">
        <f>SUM(MFC:ÚZSVM!C48)</f>
        <v>259123</v>
      </c>
      <c r="D48" s="13">
        <f>SUM(MFC:ÚZSVM!D48)</f>
        <v>229133</v>
      </c>
      <c r="E48" s="13">
        <f>SUM(MFC:ÚZSVM!E48)</f>
        <v>224600</v>
      </c>
      <c r="F48" s="44">
        <f t="shared" si="2"/>
        <v>98.02167300214286</v>
      </c>
      <c r="G48" s="89">
        <f t="shared" si="3"/>
        <v>94.90929527946689</v>
      </c>
      <c r="I48" s="87"/>
      <c r="J48" s="87"/>
      <c r="K48" s="34"/>
    </row>
    <row r="49" spans="1:11" ht="12.75">
      <c r="A49" s="11" t="s">
        <v>42</v>
      </c>
      <c r="B49" s="13">
        <f>SUM(MFC:ÚZSVM!B49)+1</f>
        <v>706554</v>
      </c>
      <c r="C49" s="13">
        <f>SUM(MFC:ÚZSVM!C49)</f>
        <v>824530</v>
      </c>
      <c r="D49" s="13">
        <f>SUM(MFC:ÚZSVM!D49)</f>
        <v>622598</v>
      </c>
      <c r="E49" s="13">
        <f>SUM(MFC:ÚZSVM!E49)+1</f>
        <v>600744</v>
      </c>
      <c r="F49" s="44">
        <f t="shared" si="2"/>
        <v>96.48986986787622</v>
      </c>
      <c r="G49" s="89">
        <f t="shared" si="3"/>
        <v>85.02449918902164</v>
      </c>
      <c r="I49" s="87"/>
      <c r="J49" s="87"/>
      <c r="K49" s="34"/>
    </row>
    <row r="50" spans="1:11" ht="12.75">
      <c r="A50" s="11" t="s">
        <v>43</v>
      </c>
      <c r="B50" s="13">
        <f>SUM(MFC:ÚZSVM!B50)</f>
        <v>568265</v>
      </c>
      <c r="C50" s="13">
        <f>SUM(MFC:ÚZSVM!C50)</f>
        <v>595072</v>
      </c>
      <c r="D50" s="13">
        <f>SUM(MFC:ÚZSVM!D50)</f>
        <v>403244</v>
      </c>
      <c r="E50" s="13">
        <f>SUM(MFC:ÚZSVM!E50)-1</f>
        <v>405095</v>
      </c>
      <c r="F50" s="44">
        <f t="shared" si="2"/>
        <v>100.45902728868874</v>
      </c>
      <c r="G50" s="89">
        <f t="shared" si="3"/>
        <v>71.28628368806807</v>
      </c>
      <c r="I50" s="87"/>
      <c r="J50" s="87"/>
      <c r="K50" s="34"/>
    </row>
    <row r="51" spans="1:11" ht="12.75">
      <c r="A51" s="11" t="s">
        <v>44</v>
      </c>
      <c r="B51" s="13">
        <f>SUM(MFC:ÚZSVM!B51)</f>
        <v>24392</v>
      </c>
      <c r="C51" s="13">
        <f>SUM(MFC:ÚZSVM!C51)</f>
        <v>68371</v>
      </c>
      <c r="D51" s="13">
        <f>SUM(MFC:ÚZSVM!D51)</f>
        <v>76294</v>
      </c>
      <c r="E51" s="13">
        <f>SUM(MFC:ÚZSVM!E51)</f>
        <v>67362</v>
      </c>
      <c r="F51" s="44">
        <f t="shared" si="2"/>
        <v>88.29265735182321</v>
      </c>
      <c r="G51" s="89">
        <f t="shared" si="3"/>
        <v>276.1643161692358</v>
      </c>
      <c r="I51" s="87"/>
      <c r="J51" s="87"/>
      <c r="K51" s="34"/>
    </row>
    <row r="52" spans="1:11" ht="12.75">
      <c r="A52" s="11" t="s">
        <v>45</v>
      </c>
      <c r="B52" s="13">
        <f>SUM(MFC:ÚZSVM!B52)+1</f>
        <v>91284</v>
      </c>
      <c r="C52" s="13">
        <f>SUM(MFC:ÚZSVM!C52)</f>
        <v>112110</v>
      </c>
      <c r="D52" s="13">
        <f>SUM(MFC:ÚZSVM!D52)</f>
        <v>115787</v>
      </c>
      <c r="E52" s="13">
        <f>SUM(MFC:ÚZSVM!E52)-1</f>
        <v>103313</v>
      </c>
      <c r="F52" s="44">
        <f t="shared" si="2"/>
        <v>89.22676984462849</v>
      </c>
      <c r="G52" s="89">
        <f t="shared" si="3"/>
        <v>113.17755576004558</v>
      </c>
      <c r="I52" s="87"/>
      <c r="J52" s="87"/>
      <c r="K52" s="34"/>
    </row>
    <row r="53" spans="1:11" ht="13.5" thickBot="1">
      <c r="A53" s="73" t="s">
        <v>46</v>
      </c>
      <c r="B53" s="74">
        <f>SUM(MFC:ÚZSVM!B53)-2</f>
        <v>177656</v>
      </c>
      <c r="C53" s="74">
        <f>SUM(MFC:ÚZSVM!C53)</f>
        <v>109361</v>
      </c>
      <c r="D53" s="74">
        <f>SUM(MFC:ÚZSVM!D53)</f>
        <v>306432</v>
      </c>
      <c r="E53" s="74">
        <f>SUM(MFC:ÚZSVM!E53)-2</f>
        <v>297484</v>
      </c>
      <c r="F53" s="75">
        <f t="shared" si="2"/>
        <v>97.07993943191312</v>
      </c>
      <c r="G53" s="92">
        <f t="shared" si="3"/>
        <v>167.44945287521952</v>
      </c>
      <c r="I53" s="87"/>
      <c r="J53" s="87"/>
      <c r="K53" s="34"/>
    </row>
    <row r="54" spans="1:11" ht="12.75">
      <c r="A54" s="11" t="s">
        <v>47</v>
      </c>
      <c r="B54" s="13">
        <f>SUM(MFC:ÚZSVM!B54)</f>
        <v>25513</v>
      </c>
      <c r="C54" s="13">
        <f>SUM(MFC:ÚZSVM!C54)</f>
        <v>25900</v>
      </c>
      <c r="D54" s="13">
        <f>SUM(MFC:ÚZSVM!D54)</f>
        <v>25979</v>
      </c>
      <c r="E54" s="13">
        <f>SUM(MFC:ÚZSVM!E54)</f>
        <v>24942</v>
      </c>
      <c r="F54" s="44">
        <f t="shared" si="2"/>
        <v>96.0083144077909</v>
      </c>
      <c r="G54" s="89">
        <f t="shared" si="3"/>
        <v>97.76192529298788</v>
      </c>
      <c r="I54" s="87"/>
      <c r="J54" s="87"/>
      <c r="K54" s="34"/>
    </row>
    <row r="55" spans="1:11" ht="12.75" hidden="1">
      <c r="A55" s="11" t="s">
        <v>69</v>
      </c>
      <c r="B55" s="13"/>
      <c r="C55" s="13"/>
      <c r="D55" s="13"/>
      <c r="E55" s="13"/>
      <c r="F55" s="44">
        <f>E55/D38*100</f>
        <v>0</v>
      </c>
      <c r="G55" s="89" t="e">
        <f t="shared" si="3"/>
        <v>#DIV/0!</v>
      </c>
      <c r="I55" s="87"/>
      <c r="J55" s="87"/>
      <c r="K55" s="34"/>
    </row>
    <row r="56" spans="1:11" ht="12.75">
      <c r="A56" s="11" t="s">
        <v>48</v>
      </c>
      <c r="B56" s="13">
        <f>B38/B54/12*1000</f>
        <v>25913.965429388936</v>
      </c>
      <c r="C56" s="13">
        <f>C38/C54/12*1000</f>
        <v>26336.254826254826</v>
      </c>
      <c r="D56" s="13">
        <f>D38/D54/12*1000</f>
        <v>26341.981343905976</v>
      </c>
      <c r="E56" s="13">
        <f>E38/E54/12*1000</f>
        <v>27245.295752813192</v>
      </c>
      <c r="F56" s="44">
        <f>E56/D56*100</f>
        <v>103.42918171990958</v>
      </c>
      <c r="G56" s="89">
        <f t="shared" si="3"/>
        <v>105.13750134865272</v>
      </c>
      <c r="I56" s="34"/>
      <c r="J56" s="34"/>
      <c r="K56" s="34"/>
    </row>
    <row r="57" spans="1:11" ht="13.5" thickBot="1">
      <c r="A57" s="7" t="s">
        <v>49</v>
      </c>
      <c r="B57" s="14">
        <f>B43/B54*1000</f>
        <v>146515.62693528787</v>
      </c>
      <c r="C57" s="14">
        <f>C43/C54*1000</f>
        <v>162366.33204633204</v>
      </c>
      <c r="D57" s="14">
        <f>D43/D54*1000</f>
        <v>173216.7904846222</v>
      </c>
      <c r="E57" s="14">
        <f>E43/E54*1000</f>
        <v>173597.18547029106</v>
      </c>
      <c r="F57" s="33">
        <f>E57/D57*100</f>
        <v>100.21960630063897</v>
      </c>
      <c r="G57" s="90">
        <f t="shared" si="3"/>
        <v>118.48373385247459</v>
      </c>
      <c r="H57" s="34"/>
      <c r="I57" s="34"/>
      <c r="J57" s="34"/>
      <c r="K57" s="34"/>
    </row>
    <row r="59" ht="12.75">
      <c r="A59" s="111"/>
    </row>
  </sheetData>
  <printOptions/>
  <pageMargins left="0.5905511811023623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