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700" windowHeight="6030" tabRatio="601" activeTab="0"/>
  </bookViews>
  <sheets>
    <sheet name="arbitrážní spo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<sst xmlns="http://schemas.openxmlformats.org/spreadsheetml/2006/main" count="76" uniqueCount="52">
  <si>
    <t>Celkem</t>
  </si>
  <si>
    <t>Rozpočet</t>
  </si>
  <si>
    <t>skutečnost</t>
  </si>
  <si>
    <t>Lauder</t>
  </si>
  <si>
    <t>CME</t>
  </si>
  <si>
    <t>Saluka</t>
  </si>
  <si>
    <t>Nomura</t>
  </si>
  <si>
    <t>Nagel</t>
  </si>
  <si>
    <t>Rozpočet i skutečnost</t>
  </si>
  <si>
    <t xml:space="preserve"> +jiné kapitoly</t>
  </si>
  <si>
    <t>EMV</t>
  </si>
  <si>
    <t>Investmart</t>
  </si>
  <si>
    <t>Phoenix</t>
  </si>
  <si>
    <t xml:space="preserve"> + cestovné</t>
  </si>
  <si>
    <t>celkem</t>
  </si>
  <si>
    <t xml:space="preserve">právní </t>
  </si>
  <si>
    <t>poradenství</t>
  </si>
  <si>
    <t>ostatní výdaje</t>
  </si>
  <si>
    <t>vč. cestovného</t>
  </si>
  <si>
    <t>Eastern Sugar</t>
  </si>
  <si>
    <t>ZIPimex</t>
  </si>
  <si>
    <t>Nomura-FNM</t>
  </si>
  <si>
    <t>Blokace 50%</t>
  </si>
  <si>
    <t>Binder</t>
  </si>
  <si>
    <t>Mittal</t>
  </si>
  <si>
    <t xml:space="preserve"> + cesty</t>
  </si>
  <si>
    <t>cesty</t>
  </si>
  <si>
    <t xml:space="preserve"> +cestovné</t>
  </si>
  <si>
    <t>FNM-Nom.</t>
  </si>
  <si>
    <t>RF</t>
  </si>
  <si>
    <t>RO</t>
  </si>
  <si>
    <t>K+Ventoure</t>
  </si>
  <si>
    <t>Gromann</t>
  </si>
  <si>
    <t>odkup pohledávek</t>
  </si>
  <si>
    <t>CELKEM</t>
  </si>
  <si>
    <t>Potřeba</t>
  </si>
  <si>
    <t xml:space="preserve"> - Snížit</t>
  </si>
  <si>
    <t xml:space="preserve"> + zvýšit</t>
  </si>
  <si>
    <t>rozpočet</t>
  </si>
  <si>
    <t>Návrh</t>
  </si>
  <si>
    <t>k 31.12.06</t>
  </si>
  <si>
    <t>Sara Lee</t>
  </si>
  <si>
    <t>Czechoslonor</t>
  </si>
  <si>
    <t>Frontier Petroleum</t>
  </si>
  <si>
    <t>Investmart 2</t>
  </si>
  <si>
    <t>CE Wood 2</t>
  </si>
  <si>
    <t>Monarch Machinen</t>
  </si>
  <si>
    <t>ČSOB (IPB) - J. Ring</t>
  </si>
  <si>
    <t>sdružení akcionářů IPB</t>
  </si>
  <si>
    <t>prodej akcií (LNM Holdings)</t>
  </si>
  <si>
    <t xml:space="preserve">Přehled výdajů spojených s mezinárodními spory ČR </t>
  </si>
  <si>
    <t>(zejména údajné porušení dohod o ochraně a podpoře investic)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</si>
</sst>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#,##0;\-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4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23" xfId="0" applyBorder="1" applyAlignment="1">
      <alignment horizontal="centerContinuous"/>
    </xf>
    <xf numFmtId="0" fontId="3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3" fontId="1" fillId="0" borderId="0" xfId="0" applyNumberFormat="1" applyFont="1" applyAlignment="1">
      <alignment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0" fontId="0" fillId="0" borderId="3" xfId="0" applyFill="1" applyBorder="1" applyAlignment="1">
      <alignment horizontal="centerContinuous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32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Phoenix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Eastern%20Sugar-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ZIPimex-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NOMURA-FNM%20&#268;R-20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Investmart-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NAGEL-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Phoenix-20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SALUKA-20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MITTAL-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%20-%20BINDER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2005\Arbitr&#225;&#382;-EMV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Investmart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SAKOVAJ\Dokumenty\PODKLADY%202006\Rozbor%20k%2031.%2012.%202006%20(SZ&#218;)\PODKLADY\Arbitr&#225;&#382;-EMV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NOMURA-FNM%20&#268;R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NAGEL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IPB-SALUKA-NOMURA-20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-CME-NOVA-Lauder-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Eastern%20Sugar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TABULKY\2004\Arbitr&#225;&#382;%20-%20ZIPimex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oenix 2003"/>
      <sheetName val="Phoenix 2004"/>
      <sheetName val="rozpočet 03-04"/>
      <sheetName val="List3"/>
    </sheetNames>
    <sheetDataSet>
      <sheetData sheetId="2">
        <row r="19">
          <cell r="G19">
            <v>844917.8709</v>
          </cell>
        </row>
        <row r="26">
          <cell r="E26">
            <v>1400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gar 2004"/>
      <sheetName val="Sugar 2005"/>
      <sheetName val="rozpočet 01-05"/>
      <sheetName val="List3"/>
    </sheetNames>
    <sheetDataSet>
      <sheetData sheetId="2">
        <row r="25">
          <cell r="G25">
            <v>22756522.083600003</v>
          </cell>
        </row>
        <row r="31">
          <cell r="E31">
            <v>28011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ZIPimex 2005"/>
      <sheetName val="rozpočet 01-05"/>
      <sheetName val="List3"/>
    </sheetNames>
    <sheetDataSet>
      <sheetData sheetId="2">
        <row r="25">
          <cell r="G25">
            <v>1230906.25</v>
          </cell>
        </row>
        <row r="29">
          <cell r="E29">
            <v>1450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Nomura 2005"/>
      <sheetName val="rozpočet 03-05"/>
    </sheetNames>
    <sheetDataSet>
      <sheetData sheetId="3">
        <row r="38">
          <cell r="G38">
            <v>55009740.3185</v>
          </cell>
        </row>
        <row r="46">
          <cell r="E46">
            <v>52070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vestmart 2003"/>
      <sheetName val="Investmart 2004"/>
      <sheetName val="Investmart 2005"/>
      <sheetName val="rozpočet 03-05"/>
      <sheetName val="List3"/>
    </sheetNames>
    <sheetDataSet>
      <sheetData sheetId="3">
        <row r="33">
          <cell r="G33">
            <v>0</v>
          </cell>
        </row>
        <row r="37">
          <cell r="E37">
            <v>200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AGEL 2002"/>
      <sheetName val="NAGEL 2003"/>
      <sheetName val="NAGEL 2004"/>
      <sheetName val="Nagel 2005"/>
      <sheetName val="rozpočet 01-05"/>
    </sheetNames>
    <sheetDataSet>
      <sheetData sheetId="4">
        <row r="41">
          <cell r="G41">
            <v>1330611.8517999998</v>
          </cell>
        </row>
        <row r="48">
          <cell r="E48">
            <v>1570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hoenix 2003"/>
      <sheetName val="Phoenix 2004"/>
      <sheetName val="Phoenix 2005"/>
      <sheetName val="rozpočet 03-05"/>
      <sheetName val="List3"/>
    </sheetNames>
    <sheetDataSet>
      <sheetData sheetId="3">
        <row r="32">
          <cell r="G32">
            <v>24097.5</v>
          </cell>
        </row>
        <row r="36">
          <cell r="E36">
            <v>205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-skutečnost"/>
      <sheetName val="př. k čj. 41540"/>
      <sheetName val="Saluka-2001"/>
      <sheetName val="Saluka 2002"/>
      <sheetName val="Saluka 2003"/>
      <sheetName val="Saluka 2004"/>
      <sheetName val="Saluka 2005"/>
      <sheetName val="rozpočet 03-05"/>
      <sheetName val="rozpočet 01-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ittal 2005"/>
      <sheetName val="Mittal 2006"/>
      <sheetName val="rozpočet 01-05"/>
      <sheetName val="List3"/>
    </sheetNames>
    <sheetDataSet>
      <sheetData sheetId="0">
        <row r="19">
          <cell r="C19">
            <v>609001.5399999999</v>
          </cell>
        </row>
      </sheetData>
      <sheetData sheetId="2">
        <row r="15">
          <cell r="E15">
            <v>700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inder 2005"/>
      <sheetName val="Binder 2006"/>
      <sheetName val="rozpočet 01-05"/>
      <sheetName val="List3"/>
    </sheetNames>
    <sheetDataSet>
      <sheetData sheetId="2">
        <row r="11">
          <cell r="G11">
            <v>586780.6699999999</v>
          </cell>
        </row>
        <row r="15">
          <cell r="E15">
            <v>895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rozpočet 03-05"/>
      <sheetName val="List3"/>
    </sheetNames>
    <sheetDataSet>
      <sheetData sheetId="3">
        <row r="32">
          <cell r="G32">
            <v>258659.59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stmart 2003"/>
      <sheetName val="Investmart 2004"/>
      <sheetName val="rozpočet 04"/>
      <sheetName val="List3"/>
    </sheetNames>
    <sheetDataSet>
      <sheetData sheetId="2">
        <row r="19">
          <cell r="G19">
            <v>542328.8291999999</v>
          </cell>
        </row>
        <row r="26">
          <cell r="E26">
            <v>1544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MV 2003"/>
      <sheetName val="EMV 2004"/>
      <sheetName val="EMV 2005"/>
      <sheetName val="rozpočet 03-05"/>
      <sheetName val="List3"/>
    </sheetNames>
    <sheetDataSet>
      <sheetData sheetId="3">
        <row r="18">
          <cell r="G18">
            <v>854937.3</v>
          </cell>
        </row>
        <row r="22">
          <cell r="E22">
            <v>1800</v>
          </cell>
        </row>
        <row r="36">
          <cell r="E36">
            <v>1089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ura 2003"/>
      <sheetName val="Nomura 2004"/>
      <sheetName val="rozpočet 03-04"/>
    </sheetNames>
    <sheetDataSet>
      <sheetData sheetId="2">
        <row r="22">
          <cell r="G22">
            <v>10459884.206999997</v>
          </cell>
        </row>
        <row r="29">
          <cell r="E29">
            <v>6180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GEL 2002"/>
      <sheetName val="NAGEL 2003"/>
      <sheetName val="NAGEL 2004"/>
      <sheetName val="rozpočet 01-04"/>
    </sheetNames>
    <sheetDataSet>
      <sheetData sheetId="3">
        <row r="31">
          <cell r="G31">
            <v>2415504.0028999997</v>
          </cell>
        </row>
        <row r="38">
          <cell r="E38">
            <v>8500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Saluka-2001"/>
      <sheetName val="Saluka 2002"/>
      <sheetName val="Saluka 2003"/>
      <sheetName val="Saluka 2004"/>
      <sheetName val="rozpočet 01-04"/>
      <sheetName val="rozpočet 01-02"/>
      <sheetName val="List3"/>
    </sheetNames>
    <sheetDataSet>
      <sheetData sheetId="5">
        <row r="23">
          <cell r="G23">
            <v>53406431.58379999</v>
          </cell>
        </row>
        <row r="30">
          <cell r="E30">
            <v>54000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ř. k čj. 41540"/>
      <sheetName val=" Lauder 99-00"/>
      <sheetName val="Lauder2001"/>
      <sheetName val="Lauder 2002"/>
      <sheetName val="CME 2000"/>
      <sheetName val="CME 2001 "/>
      <sheetName val="CME 2002"/>
      <sheetName val="CME 2003"/>
      <sheetName val="CME 2004"/>
      <sheetName val="rozpočet 99-04"/>
      <sheetName val="rozpočet 03"/>
      <sheetName val="rozpočet 02"/>
      <sheetName val="rozpočet 99-01"/>
      <sheetName val="odhad XII.02"/>
      <sheetName val="čj. 211-52 708"/>
      <sheetName val="čj. 211-30296"/>
    </sheetNames>
    <sheetDataSet>
      <sheetData sheetId="9">
        <row r="10">
          <cell r="G10">
            <v>0</v>
          </cell>
        </row>
        <row r="17">
          <cell r="E1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gar 2004"/>
      <sheetName val="rozpočet 01-04"/>
      <sheetName val="List3"/>
    </sheetNames>
    <sheetDataSet>
      <sheetData sheetId="0">
        <row r="21">
          <cell r="C21">
            <v>1580995.79</v>
          </cell>
        </row>
      </sheetData>
      <sheetData sheetId="1">
        <row r="18">
          <cell r="E18">
            <v>5200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IPimex 2004"/>
      <sheetName val="rozpočet 01-04"/>
      <sheetName val="List3"/>
    </sheetNames>
    <sheetDataSet>
      <sheetData sheetId="1">
        <row r="11">
          <cell r="G11">
            <v>817446.7</v>
          </cell>
        </row>
        <row r="18">
          <cell r="E18">
            <v>2376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Y23" sqref="Y23"/>
    </sheetView>
  </sheetViews>
  <sheetFormatPr defaultColWidth="9.125" defaultRowHeight="12.75"/>
  <cols>
    <col min="1" max="1" width="29.375" style="0" customWidth="1"/>
    <col min="2" max="2" width="8.75390625" style="0" hidden="1" customWidth="1"/>
    <col min="3" max="3" width="9.875" style="0" hidden="1" customWidth="1"/>
    <col min="4" max="6" width="0" style="0" hidden="1" customWidth="1"/>
    <col min="7" max="7" width="10.125" style="0" hidden="1" customWidth="1"/>
    <col min="8" max="8" width="0" style="0" hidden="1" customWidth="1"/>
    <col min="9" max="9" width="10.00390625" style="0" hidden="1" customWidth="1"/>
    <col min="10" max="10" width="0" style="0" hidden="1" customWidth="1"/>
    <col min="11" max="11" width="10.125" style="0" hidden="1" customWidth="1"/>
    <col min="12" max="12" width="9.625" style="0" hidden="1" customWidth="1"/>
    <col min="13" max="13" width="10.125" style="0" hidden="1" customWidth="1"/>
    <col min="14" max="14" width="9.375" style="0" hidden="1" customWidth="1"/>
    <col min="15" max="15" width="10.125" style="0" hidden="1" customWidth="1"/>
    <col min="16" max="16" width="12.125" style="0" customWidth="1"/>
    <col min="17" max="17" width="12.625" style="0" customWidth="1"/>
    <col min="18" max="19" width="0" style="0" hidden="1" customWidth="1"/>
    <col min="20" max="20" width="10.125" style="0" hidden="1" customWidth="1"/>
  </cols>
  <sheetData>
    <row r="1" spans="1:19" ht="13.5" thickBot="1">
      <c r="A1" s="86" t="s">
        <v>50</v>
      </c>
      <c r="S1" s="77"/>
    </row>
    <row r="2" spans="1:19" ht="13.5" thickBot="1">
      <c r="A2" t="s">
        <v>51</v>
      </c>
      <c r="S2" s="79"/>
    </row>
    <row r="3" spans="7:20" ht="13.5" thickBot="1">
      <c r="G3" s="42"/>
      <c r="S3" s="4" t="s">
        <v>35</v>
      </c>
      <c r="T3" s="27">
        <v>39051</v>
      </c>
    </row>
    <row r="4" spans="1:20" ht="12.75">
      <c r="A4" s="4" t="s">
        <v>15</v>
      </c>
      <c r="B4" s="12">
        <v>1999</v>
      </c>
      <c r="C4" s="9"/>
      <c r="D4" s="8">
        <v>2000</v>
      </c>
      <c r="E4" s="9"/>
      <c r="F4" s="8">
        <v>2001</v>
      </c>
      <c r="G4" s="41"/>
      <c r="H4" s="8">
        <v>2002</v>
      </c>
      <c r="I4" s="9"/>
      <c r="J4" s="8">
        <v>2003</v>
      </c>
      <c r="K4" s="9"/>
      <c r="L4" s="38">
        <v>2004</v>
      </c>
      <c r="M4" s="9"/>
      <c r="N4" s="38">
        <v>2005</v>
      </c>
      <c r="O4" s="9"/>
      <c r="P4" s="8">
        <v>2007</v>
      </c>
      <c r="Q4" s="9"/>
      <c r="R4" s="73" t="s">
        <v>35</v>
      </c>
      <c r="S4" s="78" t="s">
        <v>36</v>
      </c>
      <c r="T4" s="73" t="s">
        <v>39</v>
      </c>
    </row>
    <row r="5" spans="1:20" ht="13.5" thickBot="1">
      <c r="A5" s="6" t="s">
        <v>16</v>
      </c>
      <c r="B5" s="13" t="s">
        <v>1</v>
      </c>
      <c r="C5" s="3" t="s">
        <v>2</v>
      </c>
      <c r="D5" s="13" t="s">
        <v>1</v>
      </c>
      <c r="E5" s="3" t="s">
        <v>2</v>
      </c>
      <c r="F5" s="13" t="s">
        <v>1</v>
      </c>
      <c r="G5" s="3" t="s">
        <v>2</v>
      </c>
      <c r="H5" s="13" t="s">
        <v>1</v>
      </c>
      <c r="I5" s="3" t="s">
        <v>2</v>
      </c>
      <c r="J5" s="13" t="s">
        <v>1</v>
      </c>
      <c r="K5" s="3" t="s">
        <v>2</v>
      </c>
      <c r="L5" s="13" t="s">
        <v>1</v>
      </c>
      <c r="M5" s="3" t="s">
        <v>2</v>
      </c>
      <c r="N5" s="13" t="s">
        <v>1</v>
      </c>
      <c r="O5" s="3" t="s">
        <v>2</v>
      </c>
      <c r="P5" s="57" t="s">
        <v>1</v>
      </c>
      <c r="Q5" s="46" t="s">
        <v>2</v>
      </c>
      <c r="R5" s="49" t="s">
        <v>40</v>
      </c>
      <c r="S5" s="76" t="s">
        <v>37</v>
      </c>
      <c r="T5" s="49" t="s">
        <v>30</v>
      </c>
    </row>
    <row r="6" spans="1:20" ht="13.5" hidden="1" thickBot="1">
      <c r="A6" s="11" t="s">
        <v>3</v>
      </c>
      <c r="B6" s="14">
        <v>3261</v>
      </c>
      <c r="C6" s="15">
        <v>3068</v>
      </c>
      <c r="D6" s="14">
        <v>14652</v>
      </c>
      <c r="E6" s="15">
        <v>14891</v>
      </c>
      <c r="F6" s="14">
        <v>53178</v>
      </c>
      <c r="G6" s="15">
        <v>53176</v>
      </c>
      <c r="H6" s="14">
        <v>0</v>
      </c>
      <c r="I6" s="15">
        <v>136</v>
      </c>
      <c r="J6" s="14"/>
      <c r="K6" s="15"/>
      <c r="L6" s="14">
        <v>0</v>
      </c>
      <c r="M6" s="15">
        <v>0</v>
      </c>
      <c r="N6" s="14">
        <v>0</v>
      </c>
      <c r="O6" s="15">
        <v>0</v>
      </c>
      <c r="P6" s="14"/>
      <c r="Q6" s="44"/>
      <c r="R6" s="50"/>
      <c r="S6" s="55" t="s">
        <v>38</v>
      </c>
      <c r="T6" s="50"/>
    </row>
    <row r="7" spans="1:20" ht="12.75" customHeight="1" hidden="1">
      <c r="A7" s="7" t="s">
        <v>4</v>
      </c>
      <c r="B7" s="16">
        <v>0</v>
      </c>
      <c r="C7" s="17"/>
      <c r="D7" s="16">
        <v>1070</v>
      </c>
      <c r="E7" s="17">
        <v>831</v>
      </c>
      <c r="F7" s="16">
        <f>112526</f>
        <v>112526</v>
      </c>
      <c r="G7" s="17">
        <f>103486</f>
        <v>103486</v>
      </c>
      <c r="H7" s="16">
        <v>224934</v>
      </c>
      <c r="I7" s="17">
        <f>234008-135-132</f>
        <v>233741</v>
      </c>
      <c r="J7" s="16">
        <v>103210</v>
      </c>
      <c r="K7" s="17">
        <v>94555</v>
      </c>
      <c r="L7" s="16">
        <f>'[7]rozpočet 99-04'!$E$17</f>
        <v>0</v>
      </c>
      <c r="M7" s="17">
        <f>'[7]rozpočet 99-04'!$G$10/1000</f>
        <v>0</v>
      </c>
      <c r="N7" s="16">
        <v>0</v>
      </c>
      <c r="O7" s="17">
        <v>0</v>
      </c>
      <c r="P7" s="16"/>
      <c r="Q7" s="45"/>
      <c r="R7" s="51"/>
      <c r="S7" s="50"/>
      <c r="T7" s="51"/>
    </row>
    <row r="8" spans="1:20" ht="12.75">
      <c r="A8" s="7" t="s">
        <v>5</v>
      </c>
      <c r="B8" s="16">
        <v>0</v>
      </c>
      <c r="C8" s="17"/>
      <c r="D8" s="16">
        <v>0</v>
      </c>
      <c r="E8" s="17"/>
      <c r="F8" s="16">
        <v>21700</v>
      </c>
      <c r="G8" s="17">
        <v>22310</v>
      </c>
      <c r="H8" s="16">
        <v>98166</v>
      </c>
      <c r="I8" s="17">
        <f>98167-488</f>
        <v>97679</v>
      </c>
      <c r="J8" s="16">
        <v>70780</v>
      </c>
      <c r="K8" s="17">
        <v>68643</v>
      </c>
      <c r="L8" s="16">
        <f>'[6]rozpočet 01-04'!$E$30</f>
        <v>54000</v>
      </c>
      <c r="M8" s="17">
        <f>'[6]rozpočet 01-04'!$G$23/1000</f>
        <v>53406.43158379999</v>
      </c>
      <c r="N8" s="16">
        <f>'[16]rozpočet-skutečnost'!$E$46</f>
        <v>0</v>
      </c>
      <c r="O8" s="17">
        <f>'[16]rozpočet-skutečnost'!$G$39/1000</f>
        <v>0</v>
      </c>
      <c r="P8" s="16">
        <f>200+42341+25000</f>
        <v>67541</v>
      </c>
      <c r="Q8" s="81">
        <f>3+40632+4872</f>
        <v>45507</v>
      </c>
      <c r="R8" s="74">
        <f>2975+3000</f>
        <v>5975</v>
      </c>
      <c r="S8" s="69" t="e">
        <f>R8-#REF!</f>
        <v>#REF!</v>
      </c>
      <c r="T8" s="74" t="e">
        <f>S8-36</f>
        <v>#REF!</v>
      </c>
    </row>
    <row r="9" spans="1:20" ht="12.75">
      <c r="A9" s="7" t="s">
        <v>21</v>
      </c>
      <c r="B9" s="16">
        <v>0</v>
      </c>
      <c r="C9" s="17"/>
      <c r="D9" s="16">
        <v>0</v>
      </c>
      <c r="E9" s="17"/>
      <c r="F9" s="16">
        <v>0</v>
      </c>
      <c r="G9" s="17">
        <v>0</v>
      </c>
      <c r="H9" s="16">
        <v>0</v>
      </c>
      <c r="I9" s="17">
        <v>0</v>
      </c>
      <c r="J9" s="16">
        <v>28705</v>
      </c>
      <c r="K9" s="17">
        <v>9670</v>
      </c>
      <c r="L9" s="16">
        <f>'[4]rozpočet 03-04'!$E$29</f>
        <v>6180</v>
      </c>
      <c r="M9" s="17">
        <f>'[4]rozpočet 03-04'!$G$22/1000</f>
        <v>10459.884206999997</v>
      </c>
      <c r="N9" s="16">
        <f>'[12]rozpočet 03-05'!$E$46</f>
        <v>52070</v>
      </c>
      <c r="O9" s="17">
        <f>'[12]rozpočet 03-05'!$G$38/1000</f>
        <v>55009.7403185</v>
      </c>
      <c r="P9" s="16">
        <f>10</f>
        <v>10</v>
      </c>
      <c r="Q9" s="81">
        <f>8</f>
        <v>8</v>
      </c>
      <c r="R9" s="74">
        <f>120+2000</f>
        <v>2120</v>
      </c>
      <c r="S9" s="69" t="e">
        <f>R9-#REF!</f>
        <v>#REF!</v>
      </c>
      <c r="T9" s="74" t="e">
        <f aca="true" t="shared" si="0" ref="T9:T20">S9</f>
        <v>#REF!</v>
      </c>
    </row>
    <row r="10" spans="1:20" ht="12.75">
      <c r="A10" s="7" t="s">
        <v>7</v>
      </c>
      <c r="B10" s="16">
        <v>0</v>
      </c>
      <c r="C10" s="17"/>
      <c r="D10" s="16">
        <v>0</v>
      </c>
      <c r="E10" s="17"/>
      <c r="F10" s="16">
        <v>0</v>
      </c>
      <c r="G10" s="17"/>
      <c r="H10" s="16">
        <v>3800</v>
      </c>
      <c r="I10" s="17">
        <v>3704</v>
      </c>
      <c r="J10" s="16">
        <v>10595</v>
      </c>
      <c r="K10" s="17">
        <v>25283</v>
      </c>
      <c r="L10" s="16">
        <f>'[5]rozpočet 01-04'!$E$38</f>
        <v>8500</v>
      </c>
      <c r="M10" s="17">
        <f>'[5]rozpočet 01-04'!$G$31/1000</f>
        <v>2415.5040028999997</v>
      </c>
      <c r="N10" s="16">
        <f>'[14]rozpočet 01-05'!$E$48</f>
        <v>1570</v>
      </c>
      <c r="O10" s="17">
        <f>'[14]rozpočet 01-05'!$G$41/1000</f>
        <v>1330.6118517999998</v>
      </c>
      <c r="P10" s="16">
        <f>3000</f>
        <v>3000</v>
      </c>
      <c r="Q10" s="81">
        <f>1379</f>
        <v>1379</v>
      </c>
      <c r="R10" s="51">
        <v>710</v>
      </c>
      <c r="S10" s="70" t="e">
        <f>R10-#REF!</f>
        <v>#REF!</v>
      </c>
      <c r="T10" s="51" t="e">
        <f t="shared" si="0"/>
        <v>#REF!</v>
      </c>
    </row>
    <row r="11" spans="1:20" ht="12.75">
      <c r="A11" s="7" t="s">
        <v>10</v>
      </c>
      <c r="B11" s="16"/>
      <c r="C11" s="17"/>
      <c r="D11" s="16"/>
      <c r="E11" s="17"/>
      <c r="F11" s="16"/>
      <c r="G11" s="17"/>
      <c r="H11" s="16"/>
      <c r="I11" s="17"/>
      <c r="J11" s="16">
        <v>2210</v>
      </c>
      <c r="K11" s="17">
        <v>2058</v>
      </c>
      <c r="L11" s="16">
        <f>'[3]rozpočet 03-05'!$E$22</f>
        <v>1800</v>
      </c>
      <c r="M11" s="17">
        <f>'[3]rozpočet 03-05'!$G$18/1000</f>
        <v>854.9373</v>
      </c>
      <c r="N11" s="16">
        <f>'[3]rozpočet 03-05'!$E$36</f>
        <v>1089</v>
      </c>
      <c r="O11" s="17">
        <f>'[19]rozpočet 03-05'!$G$32/1000</f>
        <v>258.65959</v>
      </c>
      <c r="P11" s="16">
        <f>2+23900+2055</f>
        <v>25957</v>
      </c>
      <c r="Q11" s="81">
        <f>1+16081+2055</f>
        <v>18137</v>
      </c>
      <c r="R11" s="51">
        <v>3500</v>
      </c>
      <c r="S11" s="70" t="e">
        <f>R11-#REF!</f>
        <v>#REF!</v>
      </c>
      <c r="T11" s="51" t="e">
        <f t="shared" si="0"/>
        <v>#REF!</v>
      </c>
    </row>
    <row r="12" spans="1:20" ht="12.75">
      <c r="A12" s="7" t="s">
        <v>11</v>
      </c>
      <c r="B12" s="16"/>
      <c r="C12" s="17"/>
      <c r="D12" s="16"/>
      <c r="E12" s="17"/>
      <c r="F12" s="16"/>
      <c r="G12" s="17"/>
      <c r="H12" s="16"/>
      <c r="I12" s="17"/>
      <c r="J12" s="16">
        <v>200</v>
      </c>
      <c r="K12" s="17">
        <v>131</v>
      </c>
      <c r="L12" s="16">
        <f>'[2]rozpočet 04'!$E$26</f>
        <v>1544</v>
      </c>
      <c r="M12" s="17">
        <f>'[2]rozpočet 04'!$G$19/1000</f>
        <v>542.3288292</v>
      </c>
      <c r="N12" s="16">
        <f>'[13]rozpočet 03-05'!$E$37</f>
        <v>200</v>
      </c>
      <c r="O12" s="17">
        <f>'[13]rozpočet 03-05'!$G$33/1000</f>
        <v>0</v>
      </c>
      <c r="P12" s="16">
        <f>7+2000+3993</f>
        <v>6000</v>
      </c>
      <c r="Q12" s="81">
        <f>3+913+2887</f>
        <v>3803</v>
      </c>
      <c r="R12" s="51">
        <v>0</v>
      </c>
      <c r="S12" s="70" t="e">
        <f>R12-#REF!</f>
        <v>#REF!</v>
      </c>
      <c r="T12" s="51">
        <v>-483</v>
      </c>
    </row>
    <row r="13" spans="1:20" ht="12.75">
      <c r="A13" s="35" t="s">
        <v>44</v>
      </c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>
        <f>2000</f>
        <v>2000</v>
      </c>
      <c r="Q13" s="82">
        <v>1710</v>
      </c>
      <c r="R13" s="52"/>
      <c r="S13" s="71"/>
      <c r="T13" s="52"/>
    </row>
    <row r="14" spans="1:20" ht="12.75">
      <c r="A14" s="35" t="s">
        <v>12</v>
      </c>
      <c r="B14" s="36"/>
      <c r="C14" s="37"/>
      <c r="D14" s="36"/>
      <c r="E14" s="37"/>
      <c r="F14" s="36"/>
      <c r="G14" s="37"/>
      <c r="H14" s="36"/>
      <c r="I14" s="37"/>
      <c r="J14" s="36">
        <v>509</v>
      </c>
      <c r="K14" s="37">
        <v>391</v>
      </c>
      <c r="L14" s="36">
        <f>'[1]rozpočet 03-04'!$E$26</f>
        <v>1400</v>
      </c>
      <c r="M14" s="37">
        <f>'[1]rozpočet 03-04'!$G$19/1000</f>
        <v>844.9178709</v>
      </c>
      <c r="N14" s="36">
        <f>'[15]rozpočet 03-05'!$E$36</f>
        <v>205</v>
      </c>
      <c r="O14" s="37">
        <f>'[15]rozpočet 03-05'!$G$32/1000</f>
        <v>24.0975</v>
      </c>
      <c r="P14" s="36">
        <f>52+22135+4500</f>
        <v>26687</v>
      </c>
      <c r="Q14" s="82">
        <f>3+14024+3260</f>
        <v>17287</v>
      </c>
      <c r="R14" s="52">
        <v>120</v>
      </c>
      <c r="S14" s="71" t="e">
        <f>R14-#REF!</f>
        <v>#REF!</v>
      </c>
      <c r="T14" s="52" t="e">
        <f t="shared" si="0"/>
        <v>#REF!</v>
      </c>
    </row>
    <row r="15" spans="1:20" ht="12.75">
      <c r="A15" s="7" t="s">
        <v>19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  <c r="L15" s="16">
        <f>'[8]rozpočet 01-04'!$E$18</f>
        <v>5200</v>
      </c>
      <c r="M15" s="17">
        <f>'[8]Sugar 2004'!$C$21/1000</f>
        <v>1580.99579</v>
      </c>
      <c r="N15" s="16">
        <f>'[10]rozpočet 01-05'!$E$31</f>
        <v>28011</v>
      </c>
      <c r="O15" s="17">
        <f>'[10]rozpočet 01-05'!$G$25/1000</f>
        <v>22756.522083600004</v>
      </c>
      <c r="P15" s="36">
        <f>3700</f>
        <v>3700</v>
      </c>
      <c r="Q15" s="82">
        <v>2406</v>
      </c>
      <c r="R15" s="52">
        <v>400</v>
      </c>
      <c r="S15" s="71" t="e">
        <f>R15-#REF!</f>
        <v>#REF!</v>
      </c>
      <c r="T15" s="52" t="e">
        <f t="shared" si="0"/>
        <v>#REF!</v>
      </c>
    </row>
    <row r="16" spans="1:20" ht="12.75">
      <c r="A16" s="7" t="s">
        <v>20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>
        <f>'[9]rozpočet 01-04'!$E$18</f>
        <v>2376</v>
      </c>
      <c r="M16" s="17">
        <f>'[9]rozpočet 01-04'!$G$11/1000</f>
        <v>817.4467</v>
      </c>
      <c r="N16" s="16">
        <f>'[11]rozpočet 01-05'!$E$29</f>
        <v>1450</v>
      </c>
      <c r="O16" s="17">
        <f>'[11]rozpočet 01-05'!$G$25/1000</f>
        <v>1230.90625</v>
      </c>
      <c r="P16" s="16">
        <f>3+7350+1000</f>
        <v>8353</v>
      </c>
      <c r="Q16" s="81">
        <f>5657+461</f>
        <v>6118</v>
      </c>
      <c r="R16" s="51">
        <v>200</v>
      </c>
      <c r="S16" s="70" t="e">
        <f>R16-#REF!</f>
        <v>#REF!</v>
      </c>
      <c r="T16" s="51" t="e">
        <f t="shared" si="0"/>
        <v>#REF!</v>
      </c>
    </row>
    <row r="17" spans="1:20" ht="12.75">
      <c r="A17" s="7" t="s">
        <v>41</v>
      </c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>
        <f>100</f>
        <v>100</v>
      </c>
      <c r="Q17" s="81">
        <v>0</v>
      </c>
      <c r="R17" s="51"/>
      <c r="S17" s="70"/>
      <c r="T17" s="51"/>
    </row>
    <row r="18" spans="1:20" ht="12.75">
      <c r="A18" s="7" t="s">
        <v>23</v>
      </c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>
        <f>'[18]rozpočet 01-05'!$E$15</f>
        <v>895</v>
      </c>
      <c r="O18" s="17">
        <f>'[18]rozpočet 01-05'!$G$11/1000</f>
        <v>586.7806699999999</v>
      </c>
      <c r="P18" s="16">
        <f>10443</f>
        <v>10443</v>
      </c>
      <c r="Q18" s="81">
        <f>9291</f>
        <v>9291</v>
      </c>
      <c r="R18" s="51">
        <v>550</v>
      </c>
      <c r="S18" s="70" t="e">
        <f>R18-#REF!</f>
        <v>#REF!</v>
      </c>
      <c r="T18" s="51" t="e">
        <f t="shared" si="0"/>
        <v>#REF!</v>
      </c>
    </row>
    <row r="19" spans="1:20" ht="12.75">
      <c r="A19" s="7" t="s">
        <v>24</v>
      </c>
      <c r="B19" s="16"/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>
        <f>'[17]rozpočet 01-05'!$E$15</f>
        <v>700</v>
      </c>
      <c r="O19" s="17">
        <f>'[17]Mittal 2005'!$C$19/1000</f>
        <v>609.00154</v>
      </c>
      <c r="P19" s="16">
        <f>47000</f>
        <v>47000</v>
      </c>
      <c r="Q19" s="81">
        <f>42390</f>
        <v>42390</v>
      </c>
      <c r="R19" s="51">
        <v>2000</v>
      </c>
      <c r="S19" s="70" t="e">
        <f>R19-#REF!</f>
        <v>#REF!</v>
      </c>
      <c r="T19" s="51" t="e">
        <f t="shared" si="0"/>
        <v>#REF!</v>
      </c>
    </row>
    <row r="20" spans="1:20" ht="12.75">
      <c r="A20" s="35" t="s">
        <v>31</v>
      </c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>
        <f>2+2096</f>
        <v>2098</v>
      </c>
      <c r="Q20" s="82">
        <f>2+2095</f>
        <v>2097</v>
      </c>
      <c r="R20" s="52">
        <v>9300</v>
      </c>
      <c r="S20" s="71" t="e">
        <f>R20-#REF!</f>
        <v>#REF!</v>
      </c>
      <c r="T20" s="52" t="e">
        <f t="shared" si="0"/>
        <v>#REF!</v>
      </c>
    </row>
    <row r="21" spans="1:20" ht="13.5" thickBot="1">
      <c r="A21" s="7" t="s">
        <v>32</v>
      </c>
      <c r="B21" s="16"/>
      <c r="C21" s="17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>
        <f>1100</f>
        <v>1100</v>
      </c>
      <c r="Q21" s="81">
        <f>87</f>
        <v>87</v>
      </c>
      <c r="R21" s="53">
        <v>0</v>
      </c>
      <c r="S21" s="72" t="e">
        <f>R21-#REF!</f>
        <v>#REF!</v>
      </c>
      <c r="T21" s="53">
        <v>-2999</v>
      </c>
    </row>
    <row r="22" spans="1:20" ht="12.75">
      <c r="A22" s="7" t="s">
        <v>42</v>
      </c>
      <c r="B22" s="85"/>
      <c r="C22" s="17"/>
      <c r="D22" s="85"/>
      <c r="E22" s="17"/>
      <c r="F22" s="85"/>
      <c r="G22" s="17"/>
      <c r="H22" s="85"/>
      <c r="I22" s="17"/>
      <c r="J22" s="16"/>
      <c r="K22" s="17"/>
      <c r="L22" s="16"/>
      <c r="M22" s="17"/>
      <c r="N22" s="16"/>
      <c r="O22" s="17"/>
      <c r="P22" s="16">
        <f>1100</f>
        <v>1100</v>
      </c>
      <c r="Q22" s="81">
        <v>0</v>
      </c>
      <c r="R22" s="54"/>
      <c r="S22" s="66"/>
      <c r="T22" s="54"/>
    </row>
    <row r="23" spans="1:20" ht="12.75">
      <c r="A23" s="7" t="s">
        <v>43</v>
      </c>
      <c r="B23" s="85"/>
      <c r="C23" s="17"/>
      <c r="D23" s="85"/>
      <c r="E23" s="17"/>
      <c r="F23" s="85"/>
      <c r="G23" s="17"/>
      <c r="H23" s="85"/>
      <c r="I23" s="17"/>
      <c r="J23" s="16"/>
      <c r="K23" s="17"/>
      <c r="L23" s="16"/>
      <c r="M23" s="17"/>
      <c r="N23" s="16"/>
      <c r="O23" s="17"/>
      <c r="P23" s="16">
        <f>12500</f>
        <v>12500</v>
      </c>
      <c r="Q23" s="81">
        <f>7737</f>
        <v>7737</v>
      </c>
      <c r="R23" s="54"/>
      <c r="S23" s="66"/>
      <c r="T23" s="54"/>
    </row>
    <row r="24" spans="1:20" ht="12.75">
      <c r="A24" s="7" t="s">
        <v>45</v>
      </c>
      <c r="B24" s="85"/>
      <c r="C24" s="17"/>
      <c r="D24" s="85"/>
      <c r="E24" s="17"/>
      <c r="F24" s="85"/>
      <c r="G24" s="17"/>
      <c r="H24" s="85"/>
      <c r="I24" s="17"/>
      <c r="J24" s="16"/>
      <c r="K24" s="17"/>
      <c r="L24" s="16"/>
      <c r="M24" s="17"/>
      <c r="N24" s="16"/>
      <c r="O24" s="17"/>
      <c r="P24" s="16">
        <f>2000</f>
        <v>2000</v>
      </c>
      <c r="Q24" s="81">
        <v>0</v>
      </c>
      <c r="R24" s="54"/>
      <c r="S24" s="66"/>
      <c r="T24" s="54"/>
    </row>
    <row r="25" spans="1:20" ht="12.75">
      <c r="A25" s="7" t="s">
        <v>46</v>
      </c>
      <c r="B25" s="85"/>
      <c r="C25" s="17"/>
      <c r="D25" s="85"/>
      <c r="E25" s="17"/>
      <c r="F25" s="85"/>
      <c r="G25" s="17"/>
      <c r="H25" s="85"/>
      <c r="I25" s="17"/>
      <c r="J25" s="16"/>
      <c r="K25" s="17"/>
      <c r="L25" s="16"/>
      <c r="M25" s="17"/>
      <c r="N25" s="16"/>
      <c r="O25" s="17"/>
      <c r="P25" s="16">
        <f>300</f>
        <v>300</v>
      </c>
      <c r="Q25" s="81">
        <f>179+95</f>
        <v>274</v>
      </c>
      <c r="R25" s="54"/>
      <c r="S25" s="66"/>
      <c r="T25" s="54"/>
    </row>
    <row r="26" spans="1:20" ht="12.75">
      <c r="A26" s="7" t="s">
        <v>47</v>
      </c>
      <c r="B26" s="85"/>
      <c r="C26" s="17"/>
      <c r="D26" s="85"/>
      <c r="E26" s="17"/>
      <c r="F26" s="85"/>
      <c r="G26" s="17"/>
      <c r="H26" s="85"/>
      <c r="I26" s="17"/>
      <c r="J26" s="16"/>
      <c r="K26" s="17"/>
      <c r="L26" s="16"/>
      <c r="M26" s="17"/>
      <c r="N26" s="16"/>
      <c r="O26" s="17"/>
      <c r="P26" s="16">
        <v>15000</v>
      </c>
      <c r="Q26" s="81">
        <v>3044</v>
      </c>
      <c r="R26" s="54">
        <v>0</v>
      </c>
      <c r="S26" s="66" t="e">
        <f>R26-#REF!</f>
        <v>#REF!</v>
      </c>
      <c r="T26" s="54"/>
    </row>
    <row r="27" spans="1:20" ht="14.25" customHeight="1">
      <c r="A27" s="7" t="s">
        <v>49</v>
      </c>
      <c r="B27" s="51"/>
      <c r="C27" s="51"/>
      <c r="D27" s="51"/>
      <c r="E27" s="51"/>
      <c r="F27" s="51"/>
      <c r="G27" s="51"/>
      <c r="H27" s="51"/>
      <c r="I27" s="51"/>
      <c r="J27" s="16"/>
      <c r="K27" s="17"/>
      <c r="L27" s="16"/>
      <c r="M27" s="17"/>
      <c r="N27" s="16"/>
      <c r="O27" s="17"/>
      <c r="P27" s="16">
        <v>2400</v>
      </c>
      <c r="Q27" s="81">
        <v>2137</v>
      </c>
      <c r="R27" s="54"/>
      <c r="S27" s="66"/>
      <c r="T27" s="54"/>
    </row>
    <row r="28" spans="1:20" ht="14.25" customHeight="1" thickBot="1">
      <c r="A28" s="5" t="s">
        <v>48</v>
      </c>
      <c r="B28" s="54"/>
      <c r="C28" s="54"/>
      <c r="D28" s="54"/>
      <c r="E28" s="54"/>
      <c r="F28" s="54"/>
      <c r="G28" s="54"/>
      <c r="H28" s="54"/>
      <c r="I28" s="54"/>
      <c r="J28" s="20"/>
      <c r="K28" s="21"/>
      <c r="L28" s="20"/>
      <c r="M28" s="21"/>
      <c r="N28" s="20"/>
      <c r="O28" s="21"/>
      <c r="P28" s="20">
        <v>4048</v>
      </c>
      <c r="Q28" s="83">
        <f>430-95</f>
        <v>335</v>
      </c>
      <c r="R28" s="54"/>
      <c r="S28" s="66"/>
      <c r="T28" s="54"/>
    </row>
    <row r="29" spans="1:20" ht="13.5" thickBot="1">
      <c r="A29" s="61" t="s">
        <v>0</v>
      </c>
      <c r="B29" s="80">
        <f>SUM(B6:B10)</f>
        <v>3261</v>
      </c>
      <c r="C29" s="80">
        <f>SUM(C6:C10)</f>
        <v>3068</v>
      </c>
      <c r="D29" s="80">
        <f aca="true" t="shared" si="1" ref="D29:I29">SUM(D6:D10)</f>
        <v>15722</v>
      </c>
      <c r="E29" s="80">
        <f t="shared" si="1"/>
        <v>15722</v>
      </c>
      <c r="F29" s="80">
        <f t="shared" si="1"/>
        <v>187404</v>
      </c>
      <c r="G29" s="80">
        <f t="shared" si="1"/>
        <v>178972</v>
      </c>
      <c r="H29" s="80">
        <f t="shared" si="1"/>
        <v>326900</v>
      </c>
      <c r="I29" s="80">
        <f t="shared" si="1"/>
        <v>335260</v>
      </c>
      <c r="J29" s="62">
        <f>SUM(J6:J14)</f>
        <v>216209</v>
      </c>
      <c r="K29" s="63">
        <f>SUM(K6:K14)</f>
        <v>200731</v>
      </c>
      <c r="L29" s="62">
        <f>SUM(L6:L21)</f>
        <v>81000</v>
      </c>
      <c r="M29" s="63">
        <f>SUM(M6:M21)</f>
        <v>70922.44628379999</v>
      </c>
      <c r="N29" s="62">
        <f>SUM(N6:N21)</f>
        <v>86190</v>
      </c>
      <c r="O29" s="63">
        <f>SUM(O6:O21)</f>
        <v>81806.3198039</v>
      </c>
      <c r="P29" s="62">
        <f>SUM(P8:P28)</f>
        <v>241337</v>
      </c>
      <c r="Q29" s="84">
        <f>SUM(Q8:Q28)</f>
        <v>163747</v>
      </c>
      <c r="R29" s="75">
        <f>SUM(R6:R26)</f>
        <v>24875</v>
      </c>
      <c r="S29" s="67" t="e">
        <f>R29-#REF!</f>
        <v>#REF!</v>
      </c>
      <c r="T29" s="75" t="e">
        <f>SUM(T8:T26)</f>
        <v>#REF!</v>
      </c>
    </row>
    <row r="30" spans="1:19" ht="12.75" hidden="1" thickBot="1">
      <c r="A30" s="5" t="s">
        <v>29</v>
      </c>
      <c r="B30" s="20"/>
      <c r="C30" s="21"/>
      <c r="D30" s="20"/>
      <c r="E30" s="21"/>
      <c r="F30" s="20"/>
      <c r="G30" s="21"/>
      <c r="H30" s="48"/>
      <c r="I30" s="21"/>
      <c r="J30" s="48"/>
      <c r="K30" s="21"/>
      <c r="L30" s="25"/>
      <c r="M30" s="21"/>
      <c r="N30" s="25">
        <v>25093</v>
      </c>
      <c r="O30" s="21"/>
      <c r="P30" s="25"/>
      <c r="Q30" s="25"/>
      <c r="S30" s="56" t="e">
        <f>SUM(S6:S26)</f>
        <v>#REF!</v>
      </c>
    </row>
    <row r="31" spans="1:17" ht="12.75" hidden="1">
      <c r="A31" s="39" t="s">
        <v>22</v>
      </c>
      <c r="B31" s="20"/>
      <c r="C31" s="22"/>
      <c r="D31" s="23"/>
      <c r="E31" s="22"/>
      <c r="F31" s="23"/>
      <c r="G31" s="29"/>
      <c r="H31" s="28"/>
      <c r="I31" s="29"/>
      <c r="J31" s="28"/>
      <c r="K31" s="29"/>
      <c r="L31" s="24"/>
      <c r="M31" s="22"/>
      <c r="N31" s="47">
        <v>12547</v>
      </c>
      <c r="O31" s="22"/>
      <c r="P31" s="24"/>
      <c r="Q31" s="24"/>
    </row>
    <row r="32" spans="1:17" ht="12.75" hidden="1">
      <c r="A32" s="24"/>
      <c r="B32" s="25"/>
      <c r="C32" s="24"/>
      <c r="D32" s="24"/>
      <c r="E32" s="24"/>
      <c r="F32" s="24" t="s">
        <v>8</v>
      </c>
      <c r="G32" s="22"/>
      <c r="H32" s="24"/>
      <c r="I32" s="22" t="s">
        <v>26</v>
      </c>
      <c r="J32" s="24" t="s">
        <v>13</v>
      </c>
      <c r="K32" s="22"/>
      <c r="L32" s="24" t="s">
        <v>27</v>
      </c>
      <c r="M32" s="22"/>
      <c r="N32" s="43" t="s">
        <v>13</v>
      </c>
      <c r="O32" s="22"/>
      <c r="P32" s="24"/>
      <c r="Q32" s="24"/>
    </row>
    <row r="33" spans="1:17" ht="12.75" hidden="1">
      <c r="A33" t="s">
        <v>17</v>
      </c>
      <c r="B33" s="10"/>
      <c r="F33" t="s">
        <v>25</v>
      </c>
      <c r="G33" s="22" t="s">
        <v>4</v>
      </c>
      <c r="H33" s="1" t="s">
        <v>5</v>
      </c>
      <c r="I33" s="22"/>
      <c r="J33" t="s">
        <v>4</v>
      </c>
      <c r="K33" s="22">
        <v>174</v>
      </c>
      <c r="L33" s="43" t="s">
        <v>28</v>
      </c>
      <c r="M33" s="22">
        <f>26+24</f>
        <v>50</v>
      </c>
      <c r="N33" s="24" t="s">
        <v>5</v>
      </c>
      <c r="O33" s="22">
        <f>36+22</f>
        <v>58</v>
      </c>
      <c r="P33" s="24"/>
      <c r="Q33" s="24"/>
    </row>
    <row r="34" spans="6:17" ht="12.75" hidden="1">
      <c r="F34" t="s">
        <v>4</v>
      </c>
      <c r="G34" s="22" t="s">
        <v>9</v>
      </c>
      <c r="I34" s="22"/>
      <c r="J34" t="s">
        <v>5</v>
      </c>
      <c r="K34" s="22">
        <f>15+18+30+21</f>
        <v>84</v>
      </c>
      <c r="L34" s="24"/>
      <c r="M34" s="22"/>
      <c r="N34" s="24"/>
      <c r="O34" s="22"/>
      <c r="P34" s="24"/>
      <c r="Q34" s="24"/>
    </row>
    <row r="35" spans="6:17" ht="12.75" hidden="1">
      <c r="F35" s="26">
        <v>760</v>
      </c>
      <c r="G35" s="33">
        <v>411</v>
      </c>
      <c r="I35" s="22">
        <v>52</v>
      </c>
      <c r="J35" t="s">
        <v>7</v>
      </c>
      <c r="K35" s="22">
        <v>58</v>
      </c>
      <c r="L35" s="24"/>
      <c r="M35" s="22"/>
      <c r="N35" s="24"/>
      <c r="O35" s="22"/>
      <c r="P35" s="24"/>
      <c r="Q35" s="24"/>
    </row>
    <row r="36" spans="6:17" ht="12.75" hidden="1">
      <c r="F36" s="10" t="s">
        <v>5</v>
      </c>
      <c r="G36" s="2"/>
      <c r="I36" s="22"/>
      <c r="J36" t="s">
        <v>6</v>
      </c>
      <c r="K36" s="30">
        <v>2</v>
      </c>
      <c r="L36" s="32"/>
      <c r="M36" s="30"/>
      <c r="N36" s="32"/>
      <c r="O36" s="30"/>
      <c r="P36" s="32"/>
      <c r="Q36" s="32"/>
    </row>
    <row r="37" spans="6:17" ht="12.75" hidden="1">
      <c r="F37">
        <v>210</v>
      </c>
      <c r="G37" s="22">
        <v>210</v>
      </c>
      <c r="I37" s="22"/>
      <c r="K37" s="34">
        <f>SUM(K33:K36)</f>
        <v>318</v>
      </c>
      <c r="L37" s="24"/>
      <c r="M37" s="22"/>
      <c r="N37" s="24"/>
      <c r="O37" s="22"/>
      <c r="P37" s="24"/>
      <c r="Q37" s="24"/>
    </row>
    <row r="38" spans="13:17" ht="13.5" hidden="1" thickBot="1">
      <c r="M38" s="3"/>
      <c r="O38" s="3"/>
      <c r="P38" s="24"/>
      <c r="Q38" s="24"/>
    </row>
    <row r="39" spans="1:17" ht="12.75" hidden="1">
      <c r="A39" s="29" t="s">
        <v>14</v>
      </c>
      <c r="B39" s="31"/>
      <c r="C39" s="29"/>
      <c r="D39" s="31"/>
      <c r="E39" s="29"/>
      <c r="F39" s="31"/>
      <c r="G39" s="29"/>
      <c r="H39" s="31"/>
      <c r="I39" s="29"/>
      <c r="J39" s="31"/>
      <c r="K39" s="29"/>
      <c r="L39" s="31"/>
      <c r="M39" s="31"/>
      <c r="N39" s="31"/>
      <c r="O39" s="31"/>
      <c r="P39" s="31"/>
      <c r="Q39" s="31"/>
    </row>
    <row r="40" spans="1:17" ht="13.5" hidden="1" thickBot="1">
      <c r="A40" s="6" t="s">
        <v>18</v>
      </c>
      <c r="B40" s="18">
        <f>B29</f>
        <v>3261</v>
      </c>
      <c r="C40" s="19">
        <f>C29</f>
        <v>3068</v>
      </c>
      <c r="D40" s="18">
        <f>D29</f>
        <v>15722</v>
      </c>
      <c r="E40" s="19">
        <f>E29</f>
        <v>15722</v>
      </c>
      <c r="F40" s="18">
        <f>F29+F35+F37</f>
        <v>188374</v>
      </c>
      <c r="G40" s="19">
        <f>G29+G35+G37</f>
        <v>179593</v>
      </c>
      <c r="H40" s="18">
        <f>H29+I35</f>
        <v>326952</v>
      </c>
      <c r="I40" s="40">
        <f>I29+I35</f>
        <v>335312</v>
      </c>
      <c r="J40" s="18">
        <f>J29+K37</f>
        <v>216527</v>
      </c>
      <c r="K40" s="19">
        <f>K29+K37</f>
        <v>201049</v>
      </c>
      <c r="L40" s="18">
        <f>L29+M33</f>
        <v>81050</v>
      </c>
      <c r="M40" s="18">
        <f>M29+M33</f>
        <v>70972.44628379999</v>
      </c>
      <c r="N40" s="18">
        <f>N29+O33</f>
        <v>86248</v>
      </c>
      <c r="O40" s="18">
        <f>O29+O33</f>
        <v>81864.3198039</v>
      </c>
      <c r="P40" s="18"/>
      <c r="Q40" s="18"/>
    </row>
    <row r="41" ht="12.75" hidden="1"/>
    <row r="42" ht="12.75" hidden="1"/>
    <row r="43" spans="1:17" ht="12.75" hidden="1" thickBot="1">
      <c r="A43" s="58" t="s">
        <v>33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60">
        <v>75</v>
      </c>
      <c r="Q43" s="60">
        <v>75</v>
      </c>
    </row>
    <row r="44" spans="1:17" ht="13.5" hidden="1" thickBot="1">
      <c r="A44" s="61"/>
      <c r="B44" s="62"/>
      <c r="C44" s="63"/>
      <c r="D44" s="62"/>
      <c r="E44" s="63"/>
      <c r="F44" s="62"/>
      <c r="G44" s="63"/>
      <c r="H44" s="62"/>
      <c r="I44" s="63"/>
      <c r="J44" s="62"/>
      <c r="K44" s="63"/>
      <c r="L44" s="62"/>
      <c r="M44" s="63"/>
      <c r="N44" s="62"/>
      <c r="O44" s="63"/>
      <c r="P44" s="64"/>
      <c r="Q44" s="65"/>
    </row>
    <row r="45" spans="1:17" ht="12.75" hidden="1">
      <c r="A45" t="s">
        <v>34</v>
      </c>
      <c r="P45" s="68">
        <f>P29+P43+P44</f>
        <v>241412</v>
      </c>
      <c r="Q45" s="68">
        <f>Q29+Q43+Q44</f>
        <v>163822</v>
      </c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printOptions horizontalCentered="1"/>
  <pageMargins left="0" right="0" top="1.3779527559055118" bottom="0" header="0.5118110236220472" footer="0.5118110236220472"/>
  <pageSetup horizontalDpi="600" verticalDpi="600" orientation="portrait" paperSize="9" scale="115" r:id="rId1"/>
  <headerFooter alignWithMargins="0">
    <oddHeader>&amp;R&amp;"Arial CE,tučné"&amp;11&amp;UPříloha č. 2 starna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2002-12-04T07:50:07Z</dcterms:created>
  <cp:category/>
  <cp:version/>
  <cp:contentType/>
  <cp:contentStatus/>
</cp:coreProperties>
</file>