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7.xml" ContentType="application/vnd.openxmlformats-officedocument.spreadsheetml.comments+xml"/>
  <Default Extension="vml" ContentType="application/vnd.openxmlformats-officedocument.vmlDrawing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omments11.xml" ContentType="application/vnd.openxmlformats-officedocument.spreadsheetml.comment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645" windowWidth="12570" windowHeight="11760" tabRatio="963" activeTab="0"/>
  </bookViews>
  <sheets>
    <sheet name="obal" sheetId="16" r:id="rId2"/>
    <sheet name="T1 příjmy" sheetId="1" r:id="rId3"/>
    <sheet name="T2 příjmy  bez EUa FM" sheetId="29" r:id="rId4"/>
    <sheet name="T3 příj pojistné" sheetId="2" r:id="rId5"/>
    <sheet name="T4 výdaje" sheetId="3" r:id="rId6"/>
    <sheet name="T5 výdaje bez EUaFM" sheetId="30" r:id="rId7"/>
    <sheet name="T6-ZRS " sheetId="9" r:id="rId8"/>
    <sheet name="T7 Platy" sheetId="41" r:id="rId9"/>
    <sheet name="T8 výzkum bez EU" sheetId="4" r:id="rId10"/>
    <sheet name="T 9  soc výd a PZ" sheetId="27" r:id="rId11"/>
    <sheet name="T10 vybrané VPS" sheetId="39" r:id="rId12"/>
    <sheet name="T11 změny výdaje" sheetId="35" r:id="rId13"/>
    <sheet name="T12 změny příjmy" sheetId="36" r:id="rId14"/>
    <sheet name="T13 EU" sheetId="40" r:id="rId15"/>
    <sheet name="T14 FM" sheetId="32" r:id="rId16"/>
    <sheet name="T15 VVI za EUFM" sheetId="12" r:id="rId17"/>
    <sheet name="T16 SF2020" sheetId="11" r:id="rId18"/>
    <sheet name="T17 SF2021" sheetId="13" r:id="rId19"/>
    <sheet name="T18 SF2022" sheetId="33" r:id="rId20"/>
  </sheets>
  <externalReferences>
    <externalReference r:id="rId23"/>
    <externalReference r:id="rId24"/>
    <externalReference r:id="rId25"/>
    <externalReference r:id="rId26"/>
  </externalReferences>
  <definedNames>
    <definedName name="____Tab16" localSheetId="2">#REF!</definedName>
    <definedName name="____Tab16" localSheetId="5">#REF!</definedName>
    <definedName name="____Tab16">#REF!</definedName>
    <definedName name="___Tab16" localSheetId="2">#REF!</definedName>
    <definedName name="___Tab16" localSheetId="5">#REF!</definedName>
    <definedName name="___Tab16">#REF!</definedName>
    <definedName name="__FM2013" localSheetId="2">#REF!</definedName>
    <definedName name="__FM2013" localSheetId="5">#REF!</definedName>
    <definedName name="__FM2013">#REF!</definedName>
    <definedName name="__Tab16" localSheetId="2">#REF!</definedName>
    <definedName name="__Tab16" localSheetId="5">#REF!</definedName>
    <definedName name="__Tab16">#REF!</definedName>
    <definedName name="_FM2013" localSheetId="2">#REF!</definedName>
    <definedName name="_FM2013" localSheetId="5">#REF!</definedName>
    <definedName name="_FM2013">#REF!</definedName>
    <definedName name="_Tab16" localSheetId="2">#REF!</definedName>
    <definedName name="_Tab16" localSheetId="5">#REF!</definedName>
    <definedName name="_Tab16">#REF!</definedName>
    <definedName name="AV" localSheetId="10">#REF!</definedName>
    <definedName name="AV" localSheetId="2">#REF!</definedName>
    <definedName name="AV" localSheetId="5">#REF!</definedName>
    <definedName name="AV" localSheetId="6">#REF!</definedName>
    <definedName name="AV">#REF!</definedName>
    <definedName name="baba" localSheetId="2">#REF!</definedName>
    <definedName name="baba" localSheetId="5">#REF!</definedName>
    <definedName name="baba">#REF!</definedName>
    <definedName name="BIS">'[2]záv.uk,.KPR'!$B$6</definedName>
    <definedName name="CBU" localSheetId="10">#REF!</definedName>
    <definedName name="CBU" localSheetId="2">#REF!</definedName>
    <definedName name="CBU" localSheetId="5">#REF!</definedName>
    <definedName name="CBU" localSheetId="6">#REF!</definedName>
    <definedName name="CBU">#REF!</definedName>
    <definedName name="CSU" localSheetId="10">#REF!</definedName>
    <definedName name="CSU" localSheetId="2">#REF!</definedName>
    <definedName name="CSU" localSheetId="5">#REF!</definedName>
    <definedName name="CSU" localSheetId="6">#REF!</definedName>
    <definedName name="CSU">#REF!</definedName>
    <definedName name="CUZK" localSheetId="10">#REF!</definedName>
    <definedName name="CUZK" localSheetId="2">#REF!</definedName>
    <definedName name="CUZK" localSheetId="5">#REF!</definedName>
    <definedName name="CUZK" localSheetId="6">#REF!</definedName>
    <definedName name="CUZK">#REF!</definedName>
    <definedName name="GA" localSheetId="10">#REF!</definedName>
    <definedName name="GA" localSheetId="2">#REF!</definedName>
    <definedName name="GA" localSheetId="5">#REF!</definedName>
    <definedName name="GA" localSheetId="6">#REF!</definedName>
    <definedName name="GA">#REF!</definedName>
    <definedName name="kkkk" localSheetId="2">#REF!</definedName>
    <definedName name="kkkk" localSheetId="5">#REF!</definedName>
    <definedName name="kkkk">#REF!</definedName>
    <definedName name="KPR" localSheetId="6">#REF!</definedName>
    <definedName name="KPR">'[2]záv.uk,.KPR'!$B$30</definedName>
    <definedName name="MDS" localSheetId="10">#REF!</definedName>
    <definedName name="MDS" localSheetId="2">#REF!</definedName>
    <definedName name="MDS" localSheetId="5">#REF!</definedName>
    <definedName name="MDS" localSheetId="6">#REF!</definedName>
    <definedName name="MDS">#REF!</definedName>
    <definedName name="MF">'[2]záv.uk,.KPR'!$B$6</definedName>
    <definedName name="MK" localSheetId="10">#REF!</definedName>
    <definedName name="MK" localSheetId="2">#REF!</definedName>
    <definedName name="MK" localSheetId="5">#REF!</definedName>
    <definedName name="MK" localSheetId="6">#REF!</definedName>
    <definedName name="MK">#REF!</definedName>
    <definedName name="MMR">'[2]záv.uk,.KPR'!$B$6</definedName>
    <definedName name="MO">'[2]záv.uk,.KPR'!$B$6</definedName>
    <definedName name="MPO" localSheetId="10">#REF!</definedName>
    <definedName name="MPO" localSheetId="2">#REF!</definedName>
    <definedName name="MPO" localSheetId="5">#REF!</definedName>
    <definedName name="MPO" localSheetId="6">#REF!</definedName>
    <definedName name="MPO">#REF!</definedName>
    <definedName name="MPSV">'[2]záv.uk,.KPR'!$B$6</definedName>
    <definedName name="MS" localSheetId="10">#REF!</definedName>
    <definedName name="MS" localSheetId="2">#REF!</definedName>
    <definedName name="MS" localSheetId="5">#REF!</definedName>
    <definedName name="MS" localSheetId="6">#REF!</definedName>
    <definedName name="MS">#REF!</definedName>
    <definedName name="MSMT" localSheetId="10">#REF!</definedName>
    <definedName name="MSMT" localSheetId="2">#REF!</definedName>
    <definedName name="MSMT" localSheetId="5">#REF!</definedName>
    <definedName name="MSMT" localSheetId="6">#REF!</definedName>
    <definedName name="MSMT">#REF!</definedName>
    <definedName name="MV">'[2]záv.uk,.KPR'!$B$6</definedName>
    <definedName name="MZdr" localSheetId="10">#REF!</definedName>
    <definedName name="MZdr" localSheetId="2">#REF!</definedName>
    <definedName name="MZdr" localSheetId="5">#REF!</definedName>
    <definedName name="MZdr" localSheetId="6">#REF!</definedName>
    <definedName name="MZdr">#REF!</definedName>
    <definedName name="MZe" localSheetId="10">#REF!</definedName>
    <definedName name="MZe" localSheetId="2">#REF!</definedName>
    <definedName name="MZe" localSheetId="5">#REF!</definedName>
    <definedName name="MZe" localSheetId="6">#REF!</definedName>
    <definedName name="MZe">#REF!</definedName>
    <definedName name="MZP">'[2]záv.uk,.KPR'!$B$6</definedName>
    <definedName name="MZv">'[2]záv.uk,.KPR'!$B$6</definedName>
    <definedName name="_xlnm.Print_Titles" localSheetId="11">'T11 změny výdaje'!$7:$8</definedName>
    <definedName name="_xlnm.Print_Titles" localSheetId="12">'T12 změny příjmy'!$9:$9</definedName>
    <definedName name="_xlnm.Print_Titles" localSheetId="13">'T13 EU'!$4:$7</definedName>
    <definedName name="NKU" localSheetId="10">#REF!</definedName>
    <definedName name="NKU" localSheetId="2">#REF!</definedName>
    <definedName name="NKU" localSheetId="5">#REF!</definedName>
    <definedName name="NKU" localSheetId="6">#REF!</definedName>
    <definedName name="NKU">#REF!</definedName>
    <definedName name="_xlnm.Print_Area" localSheetId="1">'T1 příjmy'!$A$1:$S$59</definedName>
    <definedName name="_xlnm.Print_Area" localSheetId="10">'T10 vybrané VPS'!$B$1:$O$38</definedName>
    <definedName name="_xlnm.Print_Area" localSheetId="11">'T11 změny výdaje'!$A$1:$E$930</definedName>
    <definedName name="_xlnm.Print_Area" localSheetId="12">'T12 změny příjmy'!$A$1:$E$154</definedName>
    <definedName name="_xlnm.Print_Area" localSheetId="13">'T13 EU'!$A$2:$F$131</definedName>
    <definedName name="_xlnm.Print_Area" localSheetId="14">'T14 FM'!$A$1:$E$16</definedName>
    <definedName name="_xlnm.Print_Area" localSheetId="15">'T15 VVI za EUFM'!$A$1:$E$23</definedName>
    <definedName name="_xlnm.Print_Area" localSheetId="17">'T17 SF2021'!$A$1:$H$28</definedName>
    <definedName name="_xlnm.Print_Area" localSheetId="2">'T2 příjmy  bez EUa FM'!$A$1:$T$59</definedName>
    <definedName name="_xlnm.Print_Area" localSheetId="3">'T3 příj pojistné'!$A$1:$R$58</definedName>
    <definedName name="_xlnm.Print_Area" localSheetId="4">'T4 výdaje'!$A$1:$P$59</definedName>
    <definedName name="_xlnm.Print_Area" localSheetId="5">'T5 výdaje bez EUaFM'!$A$1:$T$61</definedName>
    <definedName name="_xlnm.Print_Area" localSheetId="7">'T7 Platy'!$A$1:$Q$56</definedName>
    <definedName name="_xlnm.Print_Area" localSheetId="8">'T8 výzkum bez EU'!$A$1:$R$59</definedName>
    <definedName name="PSP">'[2]záv.uk,.KPR'!$B$6</definedName>
    <definedName name="RRTV" localSheetId="10">#REF!</definedName>
    <definedName name="RRTV" localSheetId="2">#REF!</definedName>
    <definedName name="RRTV" localSheetId="5">#REF!</definedName>
    <definedName name="RRTV" localSheetId="6">#REF!</definedName>
    <definedName name="RRTV">#REF!</definedName>
    <definedName name="SP">'[2]záv.uk,.KPR'!$B$6</definedName>
    <definedName name="SSHR" localSheetId="10">#REF!</definedName>
    <definedName name="SSHR" localSheetId="2">#REF!</definedName>
    <definedName name="SSHR" localSheetId="5">#REF!</definedName>
    <definedName name="SSHR" localSheetId="6">#REF!</definedName>
    <definedName name="SSHR">#REF!</definedName>
    <definedName name="SUJB" localSheetId="10">#REF!</definedName>
    <definedName name="SUJB" localSheetId="2">#REF!</definedName>
    <definedName name="SUJB" localSheetId="5">#REF!</definedName>
    <definedName name="SUJB" localSheetId="6">#REF!</definedName>
    <definedName name="SUJB">#REF!</definedName>
    <definedName name="TABULKA_1" localSheetId="6">#N/A</definedName>
    <definedName name="TABULKA_1">#N/A</definedName>
    <definedName name="TABULKA_2" localSheetId="6">#N/A</definedName>
    <definedName name="TABULKA_2">#N/A</definedName>
    <definedName name="UOHS" localSheetId="10">#REF!</definedName>
    <definedName name="UOHS" localSheetId="2">#REF!</definedName>
    <definedName name="UOHS" localSheetId="5">#REF!</definedName>
    <definedName name="UOHS" localSheetId="6">#REF!</definedName>
    <definedName name="UOHS">#REF!</definedName>
    <definedName name="UPV" localSheetId="10">#REF!</definedName>
    <definedName name="UPV" localSheetId="2">#REF!</definedName>
    <definedName name="UPV" localSheetId="5">#REF!</definedName>
    <definedName name="UPV" localSheetId="6">#REF!</definedName>
    <definedName name="UPV">#REF!</definedName>
    <definedName name="US" localSheetId="10">#REF!</definedName>
    <definedName name="US" localSheetId="2">#REF!</definedName>
    <definedName name="US" localSheetId="5">#REF!</definedName>
    <definedName name="US" localSheetId="6">#REF!</definedName>
    <definedName name="US">#REF!</definedName>
    <definedName name="USIS" localSheetId="10">#REF!</definedName>
    <definedName name="USIS" localSheetId="2">#REF!</definedName>
    <definedName name="USIS" localSheetId="5">#REF!</definedName>
    <definedName name="USIS" localSheetId="6">#REF!</definedName>
    <definedName name="USIS">#REF!</definedName>
    <definedName name="UV">'[2]záv.uk,.KPR'!$B$6</definedName>
    <definedName name="VSTUPY_1" localSheetId="6">#N/A</definedName>
    <definedName name="VSTUPY_1">#N/A</definedName>
    <definedName name="VSTUPY_2" localSheetId="6">#N/A</definedName>
    <definedName name="VSTUPY_2">#N/A</definedName>
    <definedName name="xxxxxxx" localSheetId="2">#REF!</definedName>
    <definedName name="xxxxxxx" localSheetId="5">#REF!</definedName>
    <definedName name="xxxxxxx">#REF!</definedName>
  </definedNames>
  <calcPr fullCalcOnLoad="1"/>
</workbook>
</file>

<file path=xl/comments11.xml><?xml version="1.0" encoding="utf-8"?>
<comments xmlns="http://schemas.openxmlformats.org/spreadsheetml/2006/main">
  <authors>
    <author>Tyll Karel Ing.</author>
  </authors>
  <commentList>
    <comment ref="H68" authorId="0">
      <text>
        <r>
          <rPr>
            <b/>
            <sz val="9"/>
            <rFont val="Tahoma"/>
            <family val="2"/>
            <charset val="238"/>
          </rPr>
          <t>Tyll Karel Ing.:</t>
        </r>
        <r>
          <rPr>
            <sz val="9"/>
            <rFont val="Tahoma"/>
            <family val="2"/>
            <charset val="238"/>
          </rPr>
          <t xml:space="preserve">
+1 zaokrohlení</t>
        </r>
      </text>
    </comment>
  </commentList>
</comments>
</file>

<file path=xl/comments7.xml><?xml version="1.0" encoding="utf-8"?>
<comments xmlns="http://schemas.openxmlformats.org/spreadsheetml/2006/main">
  <authors>
    <author>Bakeš Karel Ing.</author>
  </authors>
  <commentList>
    <comment ref="F9" authorId="0">
      <text>
        <r>
          <rPr>
            <b/>
            <sz val="9"/>
            <rFont val="Tahoma"/>
            <family val="2"/>
            <charset val="238"/>
          </rPr>
          <t>Bakeš Karel Ing.:</t>
        </r>
        <r>
          <rPr>
            <sz val="9"/>
            <rFont val="Tahoma"/>
            <family val="2"/>
            <charset val="238"/>
          </rPr>
          <t xml:space="preserve">
bez EU částka 3 273 960</t>
        </r>
      </text>
    </comment>
  </commentList>
</comments>
</file>

<file path=xl/sharedStrings.xml><?xml version="1.0" encoding="utf-8"?>
<sst xmlns="http://schemas.openxmlformats.org/spreadsheetml/2006/main" count="2205" uniqueCount="801">
  <si>
    <t>Tabulka č. 1</t>
  </si>
  <si>
    <t>v Kč</t>
  </si>
  <si>
    <t>č.kapitoly</t>
  </si>
  <si>
    <t>Kapitola</t>
  </si>
  <si>
    <t>Kancelář prezidenta republiky</t>
  </si>
  <si>
    <t>Poslanecká sněmovna Parlamentu</t>
  </si>
  <si>
    <t>Senát Parlamentu</t>
  </si>
  <si>
    <t>Úřad vlády České republiky</t>
  </si>
  <si>
    <t>Bezpečnostní informační služba</t>
  </si>
  <si>
    <t>Ministerstvo zahraničních věcí</t>
  </si>
  <si>
    <t>Ministerstvo obrany</t>
  </si>
  <si>
    <t>Národní bezpečnostní úřad</t>
  </si>
  <si>
    <t>Kancelář veřejného ochránce práv</t>
  </si>
  <si>
    <t>Ministerstvo financí</t>
  </si>
  <si>
    <t>Ministerstvo práce a sociálních věcí</t>
  </si>
  <si>
    <t>Ministerstvo vnitra</t>
  </si>
  <si>
    <t>Ministerstvo životního prostředí</t>
  </si>
  <si>
    <t>Ministerstvo pro místní rozvoj</t>
  </si>
  <si>
    <t>Grantová agentura České republiky</t>
  </si>
  <si>
    <t>Ministerstvo průmyslu a obchodu</t>
  </si>
  <si>
    <t>Ministerstvo dopravy</t>
  </si>
  <si>
    <t>Český telekomunikační úřad</t>
  </si>
  <si>
    <t>Ministerstvo zemědělství</t>
  </si>
  <si>
    <t>Ministerstvo školství, mládeže a tělovýchovy</t>
  </si>
  <si>
    <t>Ministerstvo kultury</t>
  </si>
  <si>
    <t>Ministerstvo zdravotnictví</t>
  </si>
  <si>
    <t>Ministerstvo spravedlnosti</t>
  </si>
  <si>
    <t>Úřad pro ochranu osobních údajů</t>
  </si>
  <si>
    <t>Úřad průmyslového vlastnictví</t>
  </si>
  <si>
    <t>Český statistický úřad</t>
  </si>
  <si>
    <t>Český úřad zeměměřický a katastrální</t>
  </si>
  <si>
    <t>Český báňský úřad</t>
  </si>
  <si>
    <t>Energetický regulační úřad</t>
  </si>
  <si>
    <t>Úřad pro ochranu hospodářské soutěže</t>
  </si>
  <si>
    <t>Ústav pro studium totalitních režimů</t>
  </si>
  <si>
    <t>Ústavní soud</t>
  </si>
  <si>
    <t>Akademie věd České republiky</t>
  </si>
  <si>
    <t>Rada pro rozhlasové a televizní vysílání</t>
  </si>
  <si>
    <t>Správa státních hmotných rezerv</t>
  </si>
  <si>
    <t>Státní úřad pro jadernou bezpečnost</t>
  </si>
  <si>
    <t>Generální inspekce bezpečnostních sborů</t>
  </si>
  <si>
    <t>Technologická agentura České republiky</t>
  </si>
  <si>
    <t>Nejvyšší kontrolní úřad</t>
  </si>
  <si>
    <t>Státní dluh</t>
  </si>
  <si>
    <t>Operace státních finančních aktiv</t>
  </si>
  <si>
    <t>Všeobecná pokladní správa</t>
  </si>
  <si>
    <t>celkem</t>
  </si>
  <si>
    <t>Z celkových příjmů kapitol připadá na :</t>
  </si>
  <si>
    <t>Tabulka č. 2</t>
  </si>
  <si>
    <t>Tabulka č. 5</t>
  </si>
  <si>
    <t>Z celkových výdajů kapitol připadá na :</t>
  </si>
  <si>
    <t xml:space="preserve">  </t>
  </si>
  <si>
    <t>č. kapitoly</t>
  </si>
  <si>
    <t>v tom:</t>
  </si>
  <si>
    <t>transformační spolupráce</t>
  </si>
  <si>
    <t xml:space="preserve">humanitární pomoc </t>
  </si>
  <si>
    <t xml:space="preserve">Celkem </t>
  </si>
  <si>
    <t xml:space="preserve">dvoustranná rozvojová spolupráce </t>
  </si>
  <si>
    <t>Tabulka č. 3</t>
  </si>
  <si>
    <t>skutečnost 2012 bez EU a FM</t>
  </si>
  <si>
    <t>Tabulka č. 10</t>
  </si>
  <si>
    <t>Tabulka č. 11</t>
  </si>
  <si>
    <t>Tabulka č. 9</t>
  </si>
  <si>
    <t xml:space="preserve">skutečnost 2013 </t>
  </si>
  <si>
    <t>skutečnost 2012</t>
  </si>
  <si>
    <t>skutečnost 2011 bez EU a FM</t>
  </si>
  <si>
    <t>kapitola</t>
  </si>
  <si>
    <t>307-MO</t>
  </si>
  <si>
    <t>312-MF</t>
  </si>
  <si>
    <t>313-MPSV</t>
  </si>
  <si>
    <t>314-MV</t>
  </si>
  <si>
    <t>322-MPO</t>
  </si>
  <si>
    <t>376-GIBS</t>
  </si>
  <si>
    <t>IV.</t>
  </si>
  <si>
    <t>Tabulková část</t>
  </si>
  <si>
    <t>Tabulka č.1</t>
  </si>
  <si>
    <t>Tabulka č.2</t>
  </si>
  <si>
    <t>Tabulka č.3</t>
  </si>
  <si>
    <t>Tabulka č. 4</t>
  </si>
  <si>
    <t>Tabulka č. 8</t>
  </si>
  <si>
    <t xml:space="preserve"> </t>
  </si>
  <si>
    <t>skutečnost 2014</t>
  </si>
  <si>
    <t>skutečnost 2011</t>
  </si>
  <si>
    <t>skutečnost 2013</t>
  </si>
  <si>
    <t>skutečnost 2015</t>
  </si>
  <si>
    <t>Ukazatel v Kč</t>
  </si>
  <si>
    <t>I.</t>
  </si>
  <si>
    <t>Výdaje na sociální dávky</t>
  </si>
  <si>
    <t>I.1</t>
  </si>
  <si>
    <t>Dávky důchodového pojištění</t>
  </si>
  <si>
    <t>336-MSpr</t>
  </si>
  <si>
    <t>I.2</t>
  </si>
  <si>
    <t>Dávky nemocenského pojištění</t>
  </si>
  <si>
    <t>I.3</t>
  </si>
  <si>
    <t>I.4</t>
  </si>
  <si>
    <t>Dávky státní sociální podpory a pěstounská péče</t>
  </si>
  <si>
    <t>I.5</t>
  </si>
  <si>
    <t>Podpory v nezaměstnanosti</t>
  </si>
  <si>
    <t>I.6</t>
  </si>
  <si>
    <t>Dávky pomoci v hmotné nouzi</t>
  </si>
  <si>
    <t>I.7</t>
  </si>
  <si>
    <t>Dávky osobám se zdravotním postižením</t>
  </si>
  <si>
    <t>I.8</t>
  </si>
  <si>
    <t>Příspěvek na péči podle zákona o sociálních službách</t>
  </si>
  <si>
    <t>I.9</t>
  </si>
  <si>
    <t>Zvláštní sociální dávky příslušníků ozbrojených sil</t>
  </si>
  <si>
    <t>I.10</t>
  </si>
  <si>
    <t>Ostatní dávky povahy sociálního zabezpečení</t>
  </si>
  <si>
    <t>II</t>
  </si>
  <si>
    <t>Výdaje spojené s realizací zákona č. 118/2000 Sb.</t>
  </si>
  <si>
    <t>I. a II..</t>
  </si>
  <si>
    <t>Mandatorní peněžní transfery fyz. osobám celkem</t>
  </si>
  <si>
    <t>III.</t>
  </si>
  <si>
    <t>Sociální dotace a příspěvky zaměstnavatelům</t>
  </si>
  <si>
    <t>III.1</t>
  </si>
  <si>
    <t>III.2</t>
  </si>
  <si>
    <t>Příspěvky na sociální důsledky restrukturalizace</t>
  </si>
  <si>
    <t>I. až III.</t>
  </si>
  <si>
    <t>Mandatorní sociální výdaje celkem</t>
  </si>
  <si>
    <r>
      <t>Aktivní politika zaměstnanosti (služby) *</t>
    </r>
    <r>
      <rPr>
        <vertAlign val="superscript"/>
        <sz val="10"/>
        <rFont val="Times New Roman"/>
        <family val="1"/>
        <charset val="238"/>
      </rPr>
      <t>)</t>
    </r>
  </si>
  <si>
    <t>I. až IV.</t>
  </si>
  <si>
    <t>Pozn.</t>
  </si>
  <si>
    <t>*) nezahrnuje prostředky z EU a finančních mechanismů</t>
  </si>
  <si>
    <t>včetně prostředků z rozpočtu EU a FM</t>
  </si>
  <si>
    <t xml:space="preserve">skutečnost 2014 </t>
  </si>
  <si>
    <t xml:space="preserve">skutečnost 2015 </t>
  </si>
  <si>
    <t xml:space="preserve">skutečnost 2011 </t>
  </si>
  <si>
    <t xml:space="preserve">skutečnost 2012 </t>
  </si>
  <si>
    <t>Tabulka č. 6</t>
  </si>
  <si>
    <t xml:space="preserve">Schodek státního rozpočtu </t>
  </si>
  <si>
    <t>Tabulka č.4</t>
  </si>
  <si>
    <t>Tabulka č.5</t>
  </si>
  <si>
    <t>Tabulka č.7</t>
  </si>
  <si>
    <t>Tabulka č. 13</t>
  </si>
  <si>
    <t>Tabulka č. 14</t>
  </si>
  <si>
    <t>Tabulka č. 12</t>
  </si>
  <si>
    <t>Tabulka č. 16</t>
  </si>
  <si>
    <t>Tabulka č. 17</t>
  </si>
  <si>
    <t>Tabulka č. 15</t>
  </si>
  <si>
    <t>Úřad Národní rozpočtové rady</t>
  </si>
  <si>
    <t>Úřad pro dohled nad hospodařením politických stran a politických hnutí</t>
  </si>
  <si>
    <t>Úřad pro přístup k dopravní infrastruktuře</t>
  </si>
  <si>
    <t>skutečnost 2016</t>
  </si>
  <si>
    <t>SR 2017</t>
  </si>
  <si>
    <t>Index 
2020/2019</t>
  </si>
  <si>
    <t>Název nástroje včetně analytiky</t>
  </si>
  <si>
    <t>Tabulka č. 18</t>
  </si>
  <si>
    <t>Sociální výdaje a služby zaměstnanosti celkem</t>
  </si>
  <si>
    <t>Národní úřad pro kybernetickou a informační bezpečnost</t>
  </si>
  <si>
    <t>skutečnost 2017</t>
  </si>
  <si>
    <t>neobsazený řádek</t>
  </si>
  <si>
    <t xml:space="preserve"> Příjmy a výdaje státních fondů na rok 2021</t>
  </si>
  <si>
    <t>rozdíl 2021-2020</t>
  </si>
  <si>
    <t>Index 
2021/2020</t>
  </si>
  <si>
    <t>2020/2019</t>
  </si>
  <si>
    <t>2021/2020</t>
  </si>
  <si>
    <t>Poznámka: číselné údaje  srovnatelně s výhledem na léta 2020 a 2021, tj. bez prostředků z EU a FM a v kapitole Ministerstva zemědělství bez účetních operací v rámci PRV</t>
  </si>
  <si>
    <t>podíl státního rozpočtu</t>
  </si>
  <si>
    <t>výdaje kryté příjmem z rozpočtu EU</t>
  </si>
  <si>
    <t>výdaje kryté příjmem z rozpočtu FM</t>
  </si>
  <si>
    <t>výdaje kryté příjmem z rozpočtu EU/FM</t>
  </si>
  <si>
    <t xml:space="preserve"> Příjmy a výdaje státních fondů na rok 2020</t>
  </si>
  <si>
    <t>Prostředky jsou zahrnuty  v příslušných kapitolách v tabulce č.  13 a  v tabulce č. 14</t>
  </si>
  <si>
    <t>Tabulka č. 7</t>
  </si>
  <si>
    <t>Národní sportovní agentura</t>
  </si>
  <si>
    <t>skutečnost 2018</t>
  </si>
  <si>
    <t>rozdíl 
2020-2019</t>
  </si>
  <si>
    <t>rozdíl 
 2020 - skuteč. 2018</t>
  </si>
  <si>
    <t>rozdíl 2022-2021</t>
  </si>
  <si>
    <t>CELKOVÉ PŘÍJMY STÁTNÍHO ROZPOČTU PODLE KAPITOL NA ROK 2020</t>
  </si>
  <si>
    <t>CELKOVÉ PŘÍJMY STÁTNÍHO ROZPOČTU  PODLE KAPITOL  NA LÉTA 2020 AŽ 2022</t>
  </si>
  <si>
    <t>POJISTNÉ NA SOCIÁLNÍ ZABEZPEČENÍ A PŘÍSPĚVEK NA SPZ PODLE KAPITOL   NA LÉTA 2020 AŽ 2022</t>
  </si>
  <si>
    <t>CELKOVÉ VÝDAJE STÁTNÍHO ROZPOČTU  PODLE KAPITOL NA ROK 2020</t>
  </si>
  <si>
    <t>CELKOVÉ VÝDAJE STÁTNÍHO ROZPOČTU PODLE KAPITOL  NA LÉTA 2020 AŽ 2022</t>
  </si>
  <si>
    <t>VÝDAJE NA ZAHRANIČNÍ ROZVOJOVOU SPOLUPRÁCI A HUMANITÁRNÍ POMOC NA LÉTA 2020 AŽ 2022 *)</t>
  </si>
  <si>
    <t>Index 
2022/2021</t>
  </si>
  <si>
    <t xml:space="preserve"> VÝDAJE NA VÝZKUM,  VÝVOJ A INOVACE NA LÉTA 2020 AŽ 2022 PODLE KAPITOL  </t>
  </si>
  <si>
    <t>Sociální dávky a politika zaměstnanosti podle kapitol na léta 2020 až 2022</t>
  </si>
  <si>
    <t>2022/2021</t>
  </si>
  <si>
    <t>index</t>
  </si>
  <si>
    <t>Výdaje, které jsou nebo mají být kryty z rozpočtu Evropské unie včetně stanoveného podílu státního rozpočtu na financování těchto výdajů na rok 2020</t>
  </si>
  <si>
    <t xml:space="preserve"> Celkové příjmy státního rozpočtu  podle kapitol na rok 2020 (včetně prostředků z rozpočtu EU a FM)</t>
  </si>
  <si>
    <t xml:space="preserve"> Celkové příjmy státního rozpočtu  podle kapitol na léta 2020 až 2022 (bez prostředků z rozpočtu EU a FM)</t>
  </si>
  <si>
    <t xml:space="preserve"> Pojistné na sociální zabezpečení a příspěvek na SPZ  podle kapitol na léta 2020 až 2022</t>
  </si>
  <si>
    <t xml:space="preserve"> Celkové výdaje státního rozpočtu podle kapitol na rok 2020 (včetně prostředků z rozpočtu EU a FM)</t>
  </si>
  <si>
    <t xml:space="preserve"> Výdaje na zahraniční rozvojovou spolupráci a humanitární pomoc na léta 2020 až 2022</t>
  </si>
  <si>
    <t xml:space="preserve">  Objem prostředků na platy zaměstnanců (mzdové náklady) a ostatní platby
 za provedenou práci (ostatní osobní náklady) a počty zaměstnanců na léta 2020 až 2022</t>
  </si>
  <si>
    <t xml:space="preserve"> Výdaje státního rozpočtu na výzkum, vývoj a inovace  podle kapitol na léta 2020 až 2022
 (bez prostředků z rozpočtu EU a FM)</t>
  </si>
  <si>
    <t xml:space="preserve"> Sociální dávky a politika zaměstnanosti  podle kapitol na léta 2020 až 2022</t>
  </si>
  <si>
    <t xml:space="preserve"> Vybrané výdaje kapitoly Všeobecná pokladní správa na léta 2020 až 2022</t>
  </si>
  <si>
    <t xml:space="preserve"> Změny ve výdajích kapitol od střednědobého výhledu v roce 2020 a 2021
předloženého PSP na vědomí</t>
  </si>
  <si>
    <t xml:space="preserve"> Změny v příjmech kapitol od střednědobého výhledu v roce 2020 a 2021
předloženého PSP na vědomí</t>
  </si>
  <si>
    <t>Výdaje podle mezinárodních smluv, na základě kterých jsou České republice svěřeny peněžní prostředky z finančních mechanismů včetně stanoveného podílu státního rozpočtu na financování těchto výdajů na rok 2020</t>
  </si>
  <si>
    <t xml:space="preserve"> Příjmy a výdaje státních fondů na rok 2022</t>
  </si>
  <si>
    <t xml:space="preserve"> Celkové výdaje státního rozpočtu podle kapitol na léta 2020 až 2022 (bez prostředků z rozpočtu EU a  FM) </t>
  </si>
  <si>
    <t>bez prostředků z rozpočtu EU a FM a bez SZIF</t>
  </si>
  <si>
    <t>Vybrané výdaje kapitoly Všeobecná pokladní správa na léta 2020 až 2022</t>
  </si>
  <si>
    <t>Výdaj</t>
  </si>
  <si>
    <r>
      <t xml:space="preserve">Skutečnost 2011 </t>
    </r>
    <r>
      <rPr>
        <b/>
        <sz val="10"/>
        <rFont val="Times New Roman CE"/>
        <family val="2"/>
        <charset val="238"/>
      </rPr>
      <t>(v celých tis. Kč)</t>
    </r>
  </si>
  <si>
    <r>
      <t xml:space="preserve">Skutečnost 2012 </t>
    </r>
    <r>
      <rPr>
        <b/>
        <sz val="10"/>
        <rFont val="Times New Roman CE"/>
        <family val="2"/>
        <charset val="238"/>
      </rPr>
      <t>(v celých tis. Kč)</t>
    </r>
  </si>
  <si>
    <t>Skutečnost 2013</t>
  </si>
  <si>
    <t>Skutečnost 2014</t>
  </si>
  <si>
    <t>Skutečnost 2015</t>
  </si>
  <si>
    <t>Skutečnost 2016</t>
  </si>
  <si>
    <t>Skutečnost 2017</t>
  </si>
  <si>
    <t>Skutečnost 2018</t>
  </si>
  <si>
    <t>SR 2019</t>
  </si>
  <si>
    <t>Stavební spoření</t>
  </si>
  <si>
    <t>Dotace na podporu exportu -  Česká exportní banka,a.s.</t>
  </si>
  <si>
    <t>Navýšení základního kapitálu České exportní banky, a.s.</t>
  </si>
  <si>
    <t>Dotace na podporu exportu - doplnění  pojistných fondů EGAP, a.s.</t>
  </si>
  <si>
    <t>Dorovnání úrokových rozdílů u vývozních úvěrů</t>
  </si>
  <si>
    <t>EGAP, a.s. - zvýšení základního kapitálu</t>
  </si>
  <si>
    <t>Realizace státních záruk</t>
  </si>
  <si>
    <t>Úhrada závazků státní organizaci Správa železniční dopravní cesty podle z.č. 77/2002 Sb.</t>
  </si>
  <si>
    <t>Realizace státních záruk za úvěry přijaté ČMZRB</t>
  </si>
  <si>
    <t>Český svaz bojovníků za svobodu</t>
  </si>
  <si>
    <t>Konfederace politických vězňů</t>
  </si>
  <si>
    <t>Masarykovo demokratické hnutí</t>
  </si>
  <si>
    <t>Sdružení bývalých politických vězňů ČR</t>
  </si>
  <si>
    <t>Ústav TGM, o.p.s.</t>
  </si>
  <si>
    <t>Československá obec legionářská</t>
  </si>
  <si>
    <t>Odškodnění obětem trestné činnosti, škody způsobené při výkonu veřejné moci, soudní spory z titulu ochrany osobnosti, ostatní náhrady</t>
  </si>
  <si>
    <t>x)</t>
  </si>
  <si>
    <t>Penzijní  připojištění a doplňkové penzijní spoření</t>
  </si>
  <si>
    <t>Příspěvky politickým stranám</t>
  </si>
  <si>
    <t xml:space="preserve">Úhrada volebních nákladů politickým stranám  </t>
  </si>
  <si>
    <t xml:space="preserve">Finanční vztahy státního rozpočtu k rozpočtům krajů, obcí a k rozpočtu hl. m. Praha  </t>
  </si>
  <si>
    <t xml:space="preserve">Výdaje na sčítání lidu, domů a bytů  (SLDB 2021) </t>
  </si>
  <si>
    <t>Pojistné zdravotního pojištění - platba státu</t>
  </si>
  <si>
    <t>Výdaje na volby celkem</t>
  </si>
  <si>
    <t>Pozemkové úpravy</t>
  </si>
  <si>
    <t>Prostředky na financování zapojení občanů ČR do civilních struktur Evropské unie a dalších mezinárodních vládních organizací a do volebních pozorovatelských misí</t>
  </si>
  <si>
    <t>Prostředky na financování stáží zaměstnanců české státní správy v institucích EU</t>
  </si>
  <si>
    <t>Platby mezinárodním finančním institucím a fondům</t>
  </si>
  <si>
    <t>Datové schránky</t>
  </si>
  <si>
    <t>Prostředky na odstraňování důsledků povodní a na následnou obnovu</t>
  </si>
  <si>
    <t>Odvody do rozpočtu EU</t>
  </si>
  <si>
    <t>2018p-2018sk</t>
  </si>
  <si>
    <t>Příspěvek na zaměstnávání zdravotně postižených osob</t>
  </si>
  <si>
    <t>x) z důvodu srovnatelnosti údajů skutečnost 2015 až 2017 zahrnuje i prostředky uvolněné formou rozpočtových opatření do ostatních kapitol SR</t>
  </si>
  <si>
    <t>304 - Úřad vlády České republiky</t>
  </si>
  <si>
    <t>10300 - OP Výzkum,vývoj a vzdělávání 2014+</t>
  </si>
  <si>
    <t>10400 - OP Zaměstnanost 2014+</t>
  </si>
  <si>
    <t>10905 - OP Technická pomoc - Ostatní 2014+</t>
  </si>
  <si>
    <t>CELKEM za kapitolu</t>
  </si>
  <si>
    <t>306 - Ministerstvo zahraničních věcí</t>
  </si>
  <si>
    <t>12001 - Jiné EU - Fond pro vnitřní bezpečnost 2014+</t>
  </si>
  <si>
    <t>12005 - Jiné EU - zahraniční rozvojová spolupráce s EK 2014+</t>
  </si>
  <si>
    <t>307 - Ministerstvo obrany</t>
  </si>
  <si>
    <t>10602 - OP Životní prostředí - CF 2014+</t>
  </si>
  <si>
    <t>309 - Kancelář veřejného ochránce práv</t>
  </si>
  <si>
    <t>312 - Ministerstvo financí</t>
  </si>
  <si>
    <t>04746 - KP Hercule</t>
  </si>
  <si>
    <t>10902 - OP Technická pomoc Auditní orgán 2014+</t>
  </si>
  <si>
    <t>10903 - OP Technická pomoc Platební a certifikační orgán 2014+</t>
  </si>
  <si>
    <t>10904 - OP Technická pomoc CKB AFCOS 2014+</t>
  </si>
  <si>
    <t>12002 - Jiné EU - Azylový a migrační fond 2014+</t>
  </si>
  <si>
    <t>313 - Ministerstvo práce a sociálních věcí</t>
  </si>
  <si>
    <t>12003 - Jiné EU - Operační program Potravinové a materiální pomoci 2014+</t>
  </si>
  <si>
    <t>12105 - KP Program pro zaměstnanost a sociální inovace (EASI)</t>
  </si>
  <si>
    <t>314 - Ministerstvo vnitra</t>
  </si>
  <si>
    <t>04604 - Jiné programy/projekty EU - Evropská migrační síť</t>
  </si>
  <si>
    <t>10700 - Integrovaný regionální operační program 2014+</t>
  </si>
  <si>
    <t>11001 - Program přeshraniční spolupráce INTERREG V-A ČR - Pl 2014+</t>
  </si>
  <si>
    <t>11004 - Program přeshraniční spolupráce INTERREG V-A ČR - Bv 2014+</t>
  </si>
  <si>
    <t>11005 - Program přeshraniční spolupráce INTERREG V-A ČR - Ss 2014+</t>
  </si>
  <si>
    <t>12000 - Jiné EU 2014+</t>
  </si>
  <si>
    <t>12104 - KP Horizont 2020 2014+</t>
  </si>
  <si>
    <t>315 - Ministerstvo životního prostředí</t>
  </si>
  <si>
    <t>04703 - KP Life+</t>
  </si>
  <si>
    <t>10601 - OP Životní prostředí - ERDF2014+</t>
  </si>
  <si>
    <t>11002 - Program přeshraniční spolupráce INTERREG V-A ČR - Sl 2014+</t>
  </si>
  <si>
    <t>11003 - Program přeshraniční spolupráce INTERREG V-A ČR - Rk 2014+</t>
  </si>
  <si>
    <t>11101 - OP nadnárodní spolupráce Central Europe 2014+</t>
  </si>
  <si>
    <t>11102 - OP nadnárodní spolupráce Danube 2014+</t>
  </si>
  <si>
    <t>11200 - OP meziregionální spolupráce</t>
  </si>
  <si>
    <t>317 - Ministerstvo pro místní rozvoj</t>
  </si>
  <si>
    <t>10800 - OP Praha - pól růstu ČR 2014+</t>
  </si>
  <si>
    <t>10901 - OP Technická pomoc - MMR 2014+</t>
  </si>
  <si>
    <t>11000 - Programy přeshraniční spolupráce INTERREG V-A - Technická pomoc 2014+</t>
  </si>
  <si>
    <t>11100 - OP nadnárodní spolupráce - Technická pomoc 2014+</t>
  </si>
  <si>
    <t>322 - Ministerstvo průmyslu a obchodu</t>
  </si>
  <si>
    <t>03701 - OP Technická pomoc - MMR</t>
  </si>
  <si>
    <t>10200 - OP Podnikání a inovace pro konkurenceschopnost 2014+</t>
  </si>
  <si>
    <t>12103 - KP COSME 2014+</t>
  </si>
  <si>
    <t>327 - Ministerstvo dopravy</t>
  </si>
  <si>
    <t>10501 - OP Doprava - ERDF 2014+</t>
  </si>
  <si>
    <t>10502 - OP Doprava - CF 2014+</t>
  </si>
  <si>
    <t>12101 - KP - Nástroj pro propojení Evropy 2014+</t>
  </si>
  <si>
    <t>329 - Ministerstvo zemědělství</t>
  </si>
  <si>
    <t>04603 - Jiné programy/projekty EU - Veterinární opatření</t>
  </si>
  <si>
    <t>10100 - OP Rybářství 2014+</t>
  </si>
  <si>
    <t>13000 - Program rozvoje venkova 2014+</t>
  </si>
  <si>
    <t>13100 - Přímé platby zemědělcům 2014+</t>
  </si>
  <si>
    <t>13201 - Společná organizace trhu - mimo včely 2014+</t>
  </si>
  <si>
    <t>13202 - Společná organizace trhu - včely 2014+</t>
  </si>
  <si>
    <t>333 - Ministerstvo školství, mládeže a tělovýchovy</t>
  </si>
  <si>
    <t>04710 - KP Eurostar</t>
  </si>
  <si>
    <t>12108 - KP Erasmus +</t>
  </si>
  <si>
    <t xml:space="preserve">334 - Ministerstvo kultury </t>
  </si>
  <si>
    <t>335 - Ministerstvo zdravotnictví</t>
  </si>
  <si>
    <t>12109 - KP 3. Akční program v oblasti zdraví</t>
  </si>
  <si>
    <t xml:space="preserve">336 - Ministerstvo spravedlnosti </t>
  </si>
  <si>
    <t>344 - Úřad průmyslového vlastnictví</t>
  </si>
  <si>
    <t>04716 - KP Kooperační program s EUIPO</t>
  </si>
  <si>
    <t>345 - Český statistický úřad</t>
  </si>
  <si>
    <t>12106 - KP Statistický program ES 2014+</t>
  </si>
  <si>
    <t>346 - Český úřad zeměměřický a katastrální</t>
  </si>
  <si>
    <t>348 - Český báňský úřad</t>
  </si>
  <si>
    <t>355 - Ústav pro studium totalitních režimů</t>
  </si>
  <si>
    <t>361 - Akademie věd České republiky</t>
  </si>
  <si>
    <t>377 - Technologická agentura České republiky</t>
  </si>
  <si>
    <t>CELKEM</t>
  </si>
  <si>
    <t>18700 - Program rozvoje venkova 2014+ ÚO</t>
  </si>
  <si>
    <t>06004 - EHP/Norsko 3</t>
  </si>
  <si>
    <t>334 - Ministerstvo kultury</t>
  </si>
  <si>
    <t>336 - Ministerstvo spravedlnosti</t>
  </si>
  <si>
    <t xml:space="preserve">Výdaje podle mezinárodních smluv, na základě kterých jsou České republice svěřeny peněžní prostředky z finančních mechanismů včetně stanoveného podílu státního rozpočtu  na financování těchto výdajů na rok 2020 </t>
  </si>
  <si>
    <t xml:space="preserve"> Výzkum vývoj a inovace - výdaje, které jsou nebo mají být kryty z rozpočtu Evropské unie a finančních mechanismů včetně stanoveného podílu státního rozpočtu na financování těchto výdajů na rok 2020 </t>
  </si>
  <si>
    <t>(bez prostředků z rozpočtu EU a FM)</t>
  </si>
  <si>
    <t xml:space="preserve">Výdaje, které jsou nebo mají být kryty z rozpočtu Evropské unie včetně stanoveného podílu státního rozpočtu na financování těchto výdajů na rok 2020 </t>
  </si>
  <si>
    <t xml:space="preserve">Výzkum vývoj a inovace - výdaje, které jsou nebo mají být kryty z rozpočtu Evropské unie a finančních mechanismů včetně stanoveného podílu státního rozpočtu na financování těchto výdajů na rok 2020 </t>
  </si>
  <si>
    <t xml:space="preserve">Příjmy a výdaje státních fondů na rok 2020 </t>
  </si>
  <si>
    <t>ukazatel</t>
  </si>
  <si>
    <t>Státní fond dopravní
 infra-
struktury</t>
  </si>
  <si>
    <t>Státní zemědělský
intervenční
fond</t>
  </si>
  <si>
    <t>Státní fond kinema- 
tografie</t>
  </si>
  <si>
    <t>Státní fond kultury</t>
  </si>
  <si>
    <t>Státní fond rozvoje bydlení</t>
  </si>
  <si>
    <t>Státní fond životního prostředí</t>
  </si>
  <si>
    <t>příjmy celkem</t>
  </si>
  <si>
    <t>v tom:  daňové příjmy</t>
  </si>
  <si>
    <t xml:space="preserve">              nedaňové a kapitálové příjmy</t>
  </si>
  <si>
    <t xml:space="preserve">              z toho: příjmy ze spolufinancování z rozpočtu EU</t>
  </si>
  <si>
    <t xml:space="preserve">                           splátky půjček</t>
  </si>
  <si>
    <t xml:space="preserve">                           výnos z mýtného </t>
  </si>
  <si>
    <t xml:space="preserve">              přijaté transfery</t>
  </si>
  <si>
    <t xml:space="preserve">              z toho: dotace ze státního rozpočtu z kapitoly Mze</t>
  </si>
  <si>
    <t xml:space="preserve">                           dotace z kapitoly MD na programy (projekty) EU a ČR                         </t>
  </si>
  <si>
    <t xml:space="preserve">                           dotace z kapitoly MD na projekty spolufinancované z EIB</t>
  </si>
  <si>
    <t xml:space="preserve">                           dotace ze státního rozpočtu z kapitoly MŽP na TA</t>
  </si>
  <si>
    <t xml:space="preserve">                           dotace ze státního rozpočtu z kapitoly MŽP na IFN a Norské fondy</t>
  </si>
  <si>
    <t xml:space="preserve">                           dotace ze státního rozpočtu z kapitoly MŽP  na kotlíkové dotace</t>
  </si>
  <si>
    <t xml:space="preserve">                          dotace ze státního rozpočtu kapitoly MMR</t>
  </si>
  <si>
    <t xml:space="preserve">                          dotace ze státního rozpočtu kapitoly MK</t>
  </si>
  <si>
    <t xml:space="preserve">                          transfer  - výnosy z reklamy dle zákona č. 483/1991 Sb.</t>
  </si>
  <si>
    <t xml:space="preserve">                           dotace ze státního rozpočtu na krytí deficitu</t>
  </si>
  <si>
    <t>výdaje celkem</t>
  </si>
  <si>
    <t xml:space="preserve">                         z toho: poskytnuté půjčky</t>
  </si>
  <si>
    <t>saldo příjmů a výdajů</t>
  </si>
  <si>
    <t>Příjmy a výdaje státních fondů na rok 2021</t>
  </si>
  <si>
    <t>Příjmy a výdaje státních fondů na rok 2022</t>
  </si>
  <si>
    <t>Návrh rozpočtu na rok 2020 bez prostředků EU</t>
  </si>
  <si>
    <t>Návrh rozpočtu na rok 2021 bez prostředků EU</t>
  </si>
  <si>
    <t>Návrh rozpočtu na rok 2022 bez prostředků EU</t>
  </si>
  <si>
    <t>OSS</t>
  </si>
  <si>
    <t>a</t>
  </si>
  <si>
    <t>PO</t>
  </si>
  <si>
    <t>prostředky</t>
  </si>
  <si>
    <t xml:space="preserve">ostatní </t>
  </si>
  <si>
    <t xml:space="preserve">na platy </t>
  </si>
  <si>
    <t>platby za</t>
  </si>
  <si>
    <t xml:space="preserve">prostředky </t>
  </si>
  <si>
    <t xml:space="preserve">počet </t>
  </si>
  <si>
    <t xml:space="preserve">průměrný </t>
  </si>
  <si>
    <t>a ostatní platby</t>
  </si>
  <si>
    <t>prov.práci</t>
  </si>
  <si>
    <t>na platy</t>
  </si>
  <si>
    <t>zaměstnanců</t>
  </si>
  <si>
    <t>plat</t>
  </si>
  <si>
    <t>(mzdové náklady)</t>
  </si>
  <si>
    <t>(OON)</t>
  </si>
  <si>
    <t>301 KPR</t>
  </si>
  <si>
    <t>302 PSParl.</t>
  </si>
  <si>
    <t>303 Sparl</t>
  </si>
  <si>
    <t>304 ÚV</t>
  </si>
  <si>
    <t>306 MZV</t>
  </si>
  <si>
    <t>307 MO</t>
  </si>
  <si>
    <t>308 NBÚ</t>
  </si>
  <si>
    <t>309 KVOP</t>
  </si>
  <si>
    <t>312 MF</t>
  </si>
  <si>
    <t>313 MPSV</t>
  </si>
  <si>
    <t>314 MV</t>
  </si>
  <si>
    <t>315 MŽP</t>
  </si>
  <si>
    <t>317 MMR</t>
  </si>
  <si>
    <t>321 GA</t>
  </si>
  <si>
    <t>322 MPO</t>
  </si>
  <si>
    <t>327 MD</t>
  </si>
  <si>
    <t>328 ČTÚ</t>
  </si>
  <si>
    <t>329 MZe</t>
  </si>
  <si>
    <t>333 MŠMT</t>
  </si>
  <si>
    <t>334 MK</t>
  </si>
  <si>
    <t>335 MZdr</t>
  </si>
  <si>
    <t>336 MSpr</t>
  </si>
  <si>
    <t>343 ÚOOÚ</t>
  </si>
  <si>
    <t>344 ÚPV</t>
  </si>
  <si>
    <t>345 ČSÚ</t>
  </si>
  <si>
    <t>346 ČÚZK</t>
  </si>
  <si>
    <t>348 ČBÚ</t>
  </si>
  <si>
    <t>349 ERÚ</t>
  </si>
  <si>
    <t>353 ÚOHS</t>
  </si>
  <si>
    <t xml:space="preserve">355 ÚSTR </t>
  </si>
  <si>
    <t>358 ÚS</t>
  </si>
  <si>
    <t>359 ÚNRR</t>
  </si>
  <si>
    <t>361 AV</t>
  </si>
  <si>
    <t>362 NSA</t>
  </si>
  <si>
    <t>371 ÚPDHPS</t>
  </si>
  <si>
    <t>372 RRTV</t>
  </si>
  <si>
    <t>373 ÚPDI</t>
  </si>
  <si>
    <t>374 SSHR</t>
  </si>
  <si>
    <t>375 SÚJB</t>
  </si>
  <si>
    <t>376 GIBS</t>
  </si>
  <si>
    <t>377 TA ČR</t>
  </si>
  <si>
    <t>378 NÚKIB</t>
  </si>
  <si>
    <t>381 NKÚ</t>
  </si>
  <si>
    <t>OSS a PO</t>
  </si>
  <si>
    <t>Objem prostředků na platy zaměstnanců (mzdové náklady) a ostatní platby za provedenou práci (ostatní osobní náklady) a počty zaměstnanců na roky 2020 až 2022</t>
  </si>
  <si>
    <t>Změny v příjmech kapitol od střednědobého výhledu  v roce 2020 a 2021 předloženého PSP na vědomí</t>
  </si>
  <si>
    <t xml:space="preserve">datum </t>
  </si>
  <si>
    <t>březen-květen</t>
  </si>
  <si>
    <t>aktualizace výhledu</t>
  </si>
  <si>
    <t>Hodnoty</t>
  </si>
  <si>
    <t>datum</t>
  </si>
  <si>
    <t>příjmy/výdaje</t>
  </si>
  <si>
    <t>Součet z SR 2020</t>
  </si>
  <si>
    <t>Součet z SDV 2021</t>
  </si>
  <si>
    <t>303-SP</t>
  </si>
  <si>
    <t>15.3.</t>
  </si>
  <si>
    <t>nedaňové příjmy</t>
  </si>
  <si>
    <t>15.3. Celkem</t>
  </si>
  <si>
    <t>303-SP Celkem</t>
  </si>
  <si>
    <t>304-ÚV</t>
  </si>
  <si>
    <t>příjmy z rozpočtu  EU P/V</t>
  </si>
  <si>
    <t>příjmy z rozpočtu FM P/V</t>
  </si>
  <si>
    <t>4.5.2019 Celkem</t>
  </si>
  <si>
    <t>304-ÚV Celkem</t>
  </si>
  <si>
    <t>305-BIS</t>
  </si>
  <si>
    <t>305-BIS Celkem</t>
  </si>
  <si>
    <t>306-MZV</t>
  </si>
  <si>
    <t>306-MZV Celkem</t>
  </si>
  <si>
    <t>příjmy z Vojenské lesy a statky, s.p.</t>
  </si>
  <si>
    <t>pojistné na SZ</t>
  </si>
  <si>
    <t>307-MO Celkem</t>
  </si>
  <si>
    <t>309-KVOP</t>
  </si>
  <si>
    <t xml:space="preserve">Dětská skupina - Motejlci - EU </t>
  </si>
  <si>
    <t>309-KVOP Celkem</t>
  </si>
  <si>
    <t>pojistné na sociální zabezpečení</t>
  </si>
  <si>
    <t>daňové příjmy</t>
  </si>
  <si>
    <t>312-MF Celkem</t>
  </si>
  <si>
    <t>pojistné na sociální zabezpečení - aktualizace</t>
  </si>
  <si>
    <t>pojistné nemocenské - karenční doba</t>
  </si>
  <si>
    <t>313-MPSV Celkem</t>
  </si>
  <si>
    <t>314-MV Celkem</t>
  </si>
  <si>
    <t>315-MŽP</t>
  </si>
  <si>
    <t>prodej emisních povolenek</t>
  </si>
  <si>
    <t>315-MŽP Celkem</t>
  </si>
  <si>
    <t>317-MMR</t>
  </si>
  <si>
    <t>317-MMR Celkem</t>
  </si>
  <si>
    <t>splátka NFV ČVUT (spláceno bude až od roku 2023)</t>
  </si>
  <si>
    <t>322-MPO Celkem</t>
  </si>
  <si>
    <t>327-MD</t>
  </si>
  <si>
    <t>příjmy z Řízení letového provozu s.p.</t>
  </si>
  <si>
    <t>zvýšení ceny dálničního kupónu z 1 500 Kč 
na 2 000 Kč v příjmech SFDI - snížení dotace SFDI ze SR, dopad 2 mld.</t>
  </si>
  <si>
    <t>2.5.2019 Celkem</t>
  </si>
  <si>
    <t>327-MD Celkem</t>
  </si>
  <si>
    <t>328-ČTÚ</t>
  </si>
  <si>
    <t>prodej licencí spektra</t>
  </si>
  <si>
    <t>328-ČTÚ Celkem</t>
  </si>
  <si>
    <t>329-MZE</t>
  </si>
  <si>
    <t>příjmy ze státního podniku Lesy ČR, s.p.</t>
  </si>
  <si>
    <t>nedaňové příjmy - pozemkové úpravy - účetní operace SZIF nástroj 187</t>
  </si>
  <si>
    <t>329-MZE Celkem</t>
  </si>
  <si>
    <t>333-MŠMT</t>
  </si>
  <si>
    <t>333-MŠMT Celkem</t>
  </si>
  <si>
    <t>334-MK</t>
  </si>
  <si>
    <t>334-MK Celkem</t>
  </si>
  <si>
    <t>335-MZDR</t>
  </si>
  <si>
    <t>335-MZDR Celkem</t>
  </si>
  <si>
    <t>336-MSPR</t>
  </si>
  <si>
    <t>zvýšení soudních poplatků</t>
  </si>
  <si>
    <t>336-MSPR Celkem</t>
  </si>
  <si>
    <t>344-ÚPV</t>
  </si>
  <si>
    <t>nedaňové příjmy - ochranná známka EU P/V</t>
  </si>
  <si>
    <t>344-ÚPV Celkem</t>
  </si>
  <si>
    <t>345-ČSÚ</t>
  </si>
  <si>
    <t>nedaňové příjmy - UNICEF P/V</t>
  </si>
  <si>
    <t>345-ČSÚ Celkem</t>
  </si>
  <si>
    <t>346-ČÚZK</t>
  </si>
  <si>
    <t>zvýšení správních poplatků - položka RS 1361 - poplatek za vklad do KN z 1000 Kč na 2000 Kč  (aktualizace zákona č. 634/2004)</t>
  </si>
  <si>
    <t>346-ČÚZK Celkem</t>
  </si>
  <si>
    <t>348-ČBÚ</t>
  </si>
  <si>
    <t>348-ČBÚ Celkem</t>
  </si>
  <si>
    <t>349-ERÚ</t>
  </si>
  <si>
    <t>349-ERÚ Celkem</t>
  </si>
  <si>
    <t>355-USTR</t>
  </si>
  <si>
    <t>355-USTR Celkem</t>
  </si>
  <si>
    <t>361-AV</t>
  </si>
  <si>
    <t>361-AV Celkem</t>
  </si>
  <si>
    <t>375-SÚJB</t>
  </si>
  <si>
    <t>daňové příjmy - změna nařízení vlády - poplatky</t>
  </si>
  <si>
    <t>375-SÚJB Celkem</t>
  </si>
  <si>
    <t>pojistné na SZ aktualizace</t>
  </si>
  <si>
    <t>376-GIBS Celkem</t>
  </si>
  <si>
    <t>377-TA</t>
  </si>
  <si>
    <t>377-TA Celkem</t>
  </si>
  <si>
    <t>378-NÚKIB</t>
  </si>
  <si>
    <t>378-NÚKIB Celkem</t>
  </si>
  <si>
    <t>381-NKÚ</t>
  </si>
  <si>
    <t>381-NKÚ Celkem</t>
  </si>
  <si>
    <t>396-OSFA</t>
  </si>
  <si>
    <t>396-OSFA Celkem</t>
  </si>
  <si>
    <t>Změny ve výdajích kapitol od střednědobého výhledu  v roce 2020 a 2021 předloženého PSP na vědomí</t>
  </si>
  <si>
    <t xml:space="preserve">březen - duben </t>
  </si>
  <si>
    <t>květen</t>
  </si>
  <si>
    <t>aktualizace výhledu; platy</t>
  </si>
  <si>
    <t>Výdajový titul</t>
  </si>
  <si>
    <t>301-KPR</t>
  </si>
  <si>
    <t>platy zaměstnanců (5011)</t>
  </si>
  <si>
    <t>platy představitelů (5022)</t>
  </si>
  <si>
    <t xml:space="preserve">příslušenství celkem </t>
  </si>
  <si>
    <t>platy PO</t>
  </si>
  <si>
    <t>příslušenství celkem  PO</t>
  </si>
  <si>
    <t xml:space="preserve">náhrady výdajů dle zákona č. 236/95 Sb. </t>
  </si>
  <si>
    <t>15.1.2019 Celkem</t>
  </si>
  <si>
    <t>snížení pojistného na SZ o 0,2 %</t>
  </si>
  <si>
    <t>přesun prostředků z KPR do AV - archeologický výzkum (smlouva)</t>
  </si>
  <si>
    <t>15.3.2019 Celkem</t>
  </si>
  <si>
    <t>náhrady dle kapitoly</t>
  </si>
  <si>
    <t>301-KPR Celkem</t>
  </si>
  <si>
    <t>302-PSP</t>
  </si>
  <si>
    <t>navýšení platů úst. činitelů dle návrhu kapitoly - platy</t>
  </si>
  <si>
    <t>navýšení platů úst. činitelů dle návrhu kapitoly - příslušenství</t>
  </si>
  <si>
    <t xml:space="preserve">snížení ostatních výdajů dle kapitoly </t>
  </si>
  <si>
    <t>náhrady výdajů dle zákona č. 236/95 Sb. - dorovnání dle kapitoly</t>
  </si>
  <si>
    <t>odchodné (v r.2021 jde o zálohy) - platy</t>
  </si>
  <si>
    <t>302-PSP Celkem</t>
  </si>
  <si>
    <t>překrývání mandátů senátorů a navýšení platů úst. činitelů dle kap. - platy</t>
  </si>
  <si>
    <t>překrývání mandátů senátorů a navýšení platů úst. činitelů dle kap. - příslušenství</t>
  </si>
  <si>
    <t>překrývání mandátů senátorů ve 2020 a 2022</t>
  </si>
  <si>
    <t>překrývání mandátů senátorů ve 2020 a 2023 příslušenství</t>
  </si>
  <si>
    <t>odchodné (v r.2022)</t>
  </si>
  <si>
    <t xml:space="preserve">upřesnění propočtu příslušenství </t>
  </si>
  <si>
    <t>snížení výdajů - spojených s činností poradních orgánů vlády (PN v PSP ke SR na 2019)</t>
  </si>
  <si>
    <t>výdaje na výzkum, vývoj a inovace - aktualizace</t>
  </si>
  <si>
    <t>aktualizace platů ÚČ (růst o 8 %) - 5022</t>
  </si>
  <si>
    <t>vrácení prostředků na nekrytá místa - platy</t>
  </si>
  <si>
    <t>trvalé ROP - přesun agendy na MSPR  - delimitace - příslušenství</t>
  </si>
  <si>
    <t>aktualizace platů ÚČ (růst o 8 %) - 5022 - příslušenství</t>
  </si>
  <si>
    <t>krácení o stanovené míry  - příslušenství</t>
  </si>
  <si>
    <t>vrácení 50 % krácených prostředků - příslušenství</t>
  </si>
  <si>
    <t>navýšení objemu na platy o 2 %  - příslušenství</t>
  </si>
  <si>
    <t>snížení pojistného SZ o 0,2 % - VVaI (z platů 2020 a 2021 dle výhledu) - v rámci VVaI</t>
  </si>
  <si>
    <t>užší provozní výdaje kapitol - snížení o 10 % (bez VVI, ZRS)</t>
  </si>
  <si>
    <t>trvalé ROP - přesun agendy na MSPR  - delimitace   platy</t>
  </si>
  <si>
    <t>úprava příslušenství - novela zák. č. 32/2019 - ze 25 na 24,8 % - příslušenství</t>
  </si>
  <si>
    <t>krácení o stanovené míry - platy</t>
  </si>
  <si>
    <t>vrácení 50 % krácených prostředků - platy</t>
  </si>
  <si>
    <t>navýšení objemu na platy o 2 % - platy</t>
  </si>
  <si>
    <t>vrácení prostředků na nekrytá místa - příslušenství</t>
  </si>
  <si>
    <t>předfinancování EU P/V</t>
  </si>
  <si>
    <t>předfinancování FM P/V</t>
  </si>
  <si>
    <t>snížení výdajů</t>
  </si>
  <si>
    <t>nástroj finanční pomoci uprchlíkům v Turecku (UV č.767/2018)</t>
  </si>
  <si>
    <t>ZRS - na úroveň výdajů 2018</t>
  </si>
  <si>
    <t xml:space="preserve">dobrovolné peněžní dary do zahraničí </t>
  </si>
  <si>
    <t>snížení dotací neziskovým organizacím</t>
  </si>
  <si>
    <t>OSS aktualizace platů ÚČ (růst o 8 %) - 5022</t>
  </si>
  <si>
    <t>OSS vrácení prostředků na nekrytá místa - platy</t>
  </si>
  <si>
    <t xml:space="preserve">OSS navýšení objemu na platy o 2 % </t>
  </si>
  <si>
    <t xml:space="preserve">OSS ČRA navýšení objemu na platy o 2 % </t>
  </si>
  <si>
    <t xml:space="preserve">PO navýšení objemu na platy o 2 % </t>
  </si>
  <si>
    <t>OSS korekce - dipl. Švédsko - přesun na MO - dočasný vliv  - příslušenství</t>
  </si>
  <si>
    <t>PO korekce - KGK Expo Dubaj - dočasný vliv - příslušenství</t>
  </si>
  <si>
    <t>OSS trvalé ROP - přesun 4 míst z MZE - agrární dipl. - delimitace  - příslušenství</t>
  </si>
  <si>
    <t>OSS aktualizace platů ÚČ (růst o 8 %) - 5022 - příslušenství</t>
  </si>
  <si>
    <t>OSS krácení o stanovené míry  - příslušenství</t>
  </si>
  <si>
    <t>OSS ČRA krácení o stanovené míry  - příslušenství</t>
  </si>
  <si>
    <t>PO krácení o stanovené míry  - příslušenství</t>
  </si>
  <si>
    <t>OSS vrácení 50 % krácených prostředků - příslušenství</t>
  </si>
  <si>
    <t>OSS ČRA vrácení 50 % krácených prostředků - příslušenství</t>
  </si>
  <si>
    <t>PO vrácení 50 % krácených prostředků - příslušenství</t>
  </si>
  <si>
    <t>OSS navýšení objemu na platy o 2 %  - příslušenství</t>
  </si>
  <si>
    <t>OSS ČRA navýšení objemu na platy o 2 %  - příslušenství</t>
  </si>
  <si>
    <t>PO navýšení objemu na platy o 2 %  - příslušenství</t>
  </si>
  <si>
    <t>úpravy platů vč. př. - ČRA - v rámci výdajů ZRS</t>
  </si>
  <si>
    <t>OSS krácení o stanovené míry  - platy</t>
  </si>
  <si>
    <t>PO krácení o stanovené míry  - platy</t>
  </si>
  <si>
    <t>OSS vrácení 50 % krácených prostředků - platy</t>
  </si>
  <si>
    <t>PO vrácení 50 % krácených prostředků - platy</t>
  </si>
  <si>
    <t>OSS snížení o 1 FM ve 2022 dle UV č. 79/2018 - Ukrajina - příslušenství</t>
  </si>
  <si>
    <t>OSS úprava příslušenství - novela zák. č. 32/2019 - ze 25 na 24,8 % - příslušenství</t>
  </si>
  <si>
    <t>PO úprava příslušenství - novela zák. č. 32/2019 - ze 25 na 24,8 % - příslušenství</t>
  </si>
  <si>
    <t>OSS korekce - dipl. Švédsko - přesun na MO - dočasný vliv   - platy</t>
  </si>
  <si>
    <t>OSS snížení o 1 FM ve 2022 dle UV č. 79/2018 - Ukrajina - platy</t>
  </si>
  <si>
    <t>PO korekce - KGK Expo Dubaj - dočasný vliv - platy</t>
  </si>
  <si>
    <t>OSS trvalé ROP - přesun 4 míst z MZE - agrární dipl. - delimitace  - platy</t>
  </si>
  <si>
    <t>OSS ČRA krácení o stanovené míry  - platy</t>
  </si>
  <si>
    <t>OSS ČRA vrácení 50 % krácených prostředků - platy</t>
  </si>
  <si>
    <t>OSS vrácení prostředků na nekrytá místa - příslušenství</t>
  </si>
  <si>
    <t>důchody</t>
  </si>
  <si>
    <t>dávky nemocenského pojištění</t>
  </si>
  <si>
    <t>zvláštní sociální dávky příslušníků</t>
  </si>
  <si>
    <t>udržení výdajů ve stanovené výši</t>
  </si>
  <si>
    <t>důchody průměrné navýšení o 900 Kč</t>
  </si>
  <si>
    <t>OSS navýšení objemu na platy o 2 % (vojáci 0 %)</t>
  </si>
  <si>
    <t>OSS korekce - dipl. Švédsko - přesun z MZV - dočasný vliv  - příslušenství</t>
  </si>
  <si>
    <t>OSS navýšení objemu na platy o 2 % (vojáci 0 %) - příslušenství</t>
  </si>
  <si>
    <t xml:space="preserve">platové změny v kapitole - změna ost. výdajů </t>
  </si>
  <si>
    <t xml:space="preserve">snížení výdajů MO v roce 2020 </t>
  </si>
  <si>
    <t>OSS korekce - dipl. Švédsko - přesun z MZV - dočasný vliv  - platy</t>
  </si>
  <si>
    <t>OSS vrácení prostředků na nekrytá místa (mimo míst vojáků z povolání) - platy</t>
  </si>
  <si>
    <t>OSS vrácení prostředků na nekrytá místa (mimo míst vojáků z povolání)  - příslušenství</t>
  </si>
  <si>
    <t>výdaje na úroveň 1,5 % HDP v roce 2022</t>
  </si>
  <si>
    <t>23.5.2019 Celkem</t>
  </si>
  <si>
    <t>308-NBÚ</t>
  </si>
  <si>
    <t xml:space="preserve">navýšení objemu na platy o 2 % </t>
  </si>
  <si>
    <t>úprava příslušenství - novela zč 32/2019 - ze 25 na 24,8 % - příslušenství</t>
  </si>
  <si>
    <t>krácení o stanovené míry  - platy</t>
  </si>
  <si>
    <t>308-NBÚ Celkem</t>
  </si>
  <si>
    <t xml:space="preserve">snížení BV na české spolufinancování - SR </t>
  </si>
  <si>
    <t>projekt Dětská skupina Motejlci - SR - platy</t>
  </si>
  <si>
    <t>projekt Dětská skupina Motejlci - SR -příslušenství</t>
  </si>
  <si>
    <t>projekt Dětská skupina Motejlci -EU- platy</t>
  </si>
  <si>
    <t>projekt Dětská skupina Motejlci -EU -příslušenství</t>
  </si>
  <si>
    <t xml:space="preserve">zvýšení výdajů na provoz a program. fin. </t>
  </si>
  <si>
    <t>aktualizace platů ÚČ (růst o 8 %) - 5014</t>
  </si>
  <si>
    <t xml:space="preserve">snížení o 230 míst u CS ČR - bez peněz </t>
  </si>
  <si>
    <t>aktualizace platů ÚČ (růst o 8 %) - 5014 - příslušenství</t>
  </si>
  <si>
    <t>snížení o 230 míst u CS ČR - bez peněz  - příslušenství</t>
  </si>
  <si>
    <t>vrácení prostředků na nekrytá místa (mimo míst přísl. bezpečn. sborů)- platy</t>
  </si>
  <si>
    <t>vrácení prostředků na nekrytá místa (mimo míst přísl. bezpečn. sborů) - příslušenství</t>
  </si>
  <si>
    <t>zvýšení výdajů - Neinvestiční nedávk. transfery- transfery podle z.č. 108/2016 Sb.</t>
  </si>
  <si>
    <t>příspěvek na zaměstnávání osob se zdravotním postižením  (PN v PSP ke SR na 2019)</t>
  </si>
  <si>
    <t>dávky pomoci v hmotné nouzi</t>
  </si>
  <si>
    <t>příspěvek na péči (3.stupeň +4000 a 4.stupeň +6000 na 19 200 Kč/m) a aktualizace</t>
  </si>
  <si>
    <t>podpora v nezaměstnanosti</t>
  </si>
  <si>
    <t>státní sociální podpora -  aktualizace</t>
  </si>
  <si>
    <t xml:space="preserve">důchody - aktualizace </t>
  </si>
  <si>
    <t>důchody - aktualizace na  900 Kč/m</t>
  </si>
  <si>
    <t>ochrana zaměstnanců při platební neschopnosti  zaměstnavatelů</t>
  </si>
  <si>
    <t>příslušenství - vliv zaokrouhlení</t>
  </si>
  <si>
    <t>rodičovský příspěvek aktualizace</t>
  </si>
  <si>
    <t>dávky pomoci v hmotné nouzi - doplatek na bydlení</t>
  </si>
  <si>
    <t>revize nedávkových titulů</t>
  </si>
  <si>
    <t>užší provozní výdaje kapitol - snížení o 10 % (bez VVI, ZRS, výdajů souv. se soc.dávkami)</t>
  </si>
  <si>
    <t>OSS úprava příslušenství - novela zák. č. 32/2019 - ze 25 na 24,8 % - bez pěstouna - příslušenství</t>
  </si>
  <si>
    <t xml:space="preserve">snížení dotací neziskovým organizacím </t>
  </si>
  <si>
    <t>výstavba areálu Zbraslav (rok 2022 231 mil. Kč)</t>
  </si>
  <si>
    <t>OSS SDV 2022 - dočasný vliv - OSF - platy</t>
  </si>
  <si>
    <t>OSS trvalé ROP - navýšení míst u PČR a HZS - UV 856/2018</t>
  </si>
  <si>
    <t>OSS navýšení objemu na platy o 2 % (vč. příslušníků)</t>
  </si>
  <si>
    <t>OSS korekce - LZS - dočasný vliv  - příslušenství</t>
  </si>
  <si>
    <t>OSS SDV 2022 - dočasný vliv - OSF - platy - příslušenství</t>
  </si>
  <si>
    <t>OSS navýšení objemu na platy o 2 % (vč. příslušníků) - příslušenství</t>
  </si>
  <si>
    <t>OSS SDV 2022 - dočasný vliv - Irák (UV č. 824/2017) - OPPP</t>
  </si>
  <si>
    <t>OSS SDV 2022 - dočasný vliv - Irák (UV č. 824/2017) - OPPP - příslušenství</t>
  </si>
  <si>
    <t>OSS trvalé ROP - navýšení míst u PČR a HZS - UV č. 856/2018 - příslušenství</t>
  </si>
  <si>
    <t>OSS korekce - LZS - dočasný vliv  - platy</t>
  </si>
  <si>
    <t>OSS vrácení 50 % krácených prostředků  - platy</t>
  </si>
  <si>
    <t>OSS vrácení prostředků na nekrytá místa (mimo míst přísl. bezpeč. sborů)- platy</t>
  </si>
  <si>
    <t>OSS vrácení prostředků na nekrytá místa (mimo míst přísl. bezpeč. sborů)- příslušenství</t>
  </si>
  <si>
    <t>program Nová zelená úsporám - na 2,35 mld. Kč pro rok 2020 a pak od r. 2021 1,35 mld. Kč</t>
  </si>
  <si>
    <t>snížení výdajů - Podpora bydlení  (PN v PSP ke SR na 2019)</t>
  </si>
  <si>
    <t>snížení výdajů - Podpora region.rozvoje a cest. ruchu  (PN v PSP ke SR na 2019)</t>
  </si>
  <si>
    <t xml:space="preserve"> příspěvek PO Czech Tourism (bez nezisk. org.)</t>
  </si>
  <si>
    <t>přesun výdajů - Program výstavby sociálních bytů</t>
  </si>
  <si>
    <t>přesun výdajů - Národní dotační programy</t>
  </si>
  <si>
    <t>OSS úprava příslušenství - novela zák č. 32/2019 - ze 25 na 24,8 % - příslušenství</t>
  </si>
  <si>
    <t xml:space="preserve">snížení dotačních programů </t>
  </si>
  <si>
    <t>321-GA</t>
  </si>
  <si>
    <t>platové změny v kapitole - změna ost. výdajů na VVI</t>
  </si>
  <si>
    <t>vrácení prostředků na nekrytá místa -  příslušenství</t>
  </si>
  <si>
    <t>321-GA Celkem</t>
  </si>
  <si>
    <t>mandatorní sociální dotace - horníci</t>
  </si>
  <si>
    <t>investiční výdaje SÚRAO - jaderný účet</t>
  </si>
  <si>
    <t xml:space="preserve"> OP PIK</t>
  </si>
  <si>
    <t xml:space="preserve"> SÚRAO investice</t>
  </si>
  <si>
    <t xml:space="preserve"> technický útlum zahlazování horn.činnosti</t>
  </si>
  <si>
    <t>OSS SÚRAO vrácení prostředků na nekrytá místa - platy</t>
  </si>
  <si>
    <t xml:space="preserve">OSS SÚRAO navýšení objemu na platy o 2 % </t>
  </si>
  <si>
    <t>OSS SÚRAO krácení o stanovené míry  - příslušenství</t>
  </si>
  <si>
    <t>OSS  SÚRAO vrácení 50 % krácených prostředků - příslušenství</t>
  </si>
  <si>
    <t>OSS SÚRAO navýšení objemu na platy o 2 %  - příslušenství</t>
  </si>
  <si>
    <t>průmyslové zóny</t>
  </si>
  <si>
    <t>OSS úprava příslušenství - novela zák. č, 32/2019 - ze 25 na 24,8 % - příslušenství</t>
  </si>
  <si>
    <t>OSS SÚRAO krácení o stanovené míry  - platy</t>
  </si>
  <si>
    <t>OSS SÚRAO vrácení 50 % krácených prostředků - platy</t>
  </si>
  <si>
    <t>OSS vrácení prostředků na nekrytá místa -  příslušenství</t>
  </si>
  <si>
    <t>OSS SÚRAO vrácení prostředků na nekrytá místa -  příslušenství</t>
  </si>
  <si>
    <t>dotace SFDI (financování úvěrem EIB)</t>
  </si>
  <si>
    <t>dotace SFDI na projekty spolufinancované z úvěrů EIB</t>
  </si>
  <si>
    <t>provozní vydaje - přesun do dotace SFDI výpadek mýtného v roce 2020</t>
  </si>
  <si>
    <t>zvýšení daňových příjmů SFDI x vazba na dotaci ze SR</t>
  </si>
  <si>
    <t>dotace SFDI (výpadek mýtné 2 mld. Kč v roce 2020)(rámec SFDI 65,5 mld. Kč v r. 2020, rámec od r. 2021 65,7 mld. Kč)</t>
  </si>
  <si>
    <t>volitelné programy ESA</t>
  </si>
  <si>
    <t>PO vrácení prostředků na nekrytá místa - platy</t>
  </si>
  <si>
    <t>snížení dotace SFDI ve vazbě na zvýšení příjmů z dál. kuponů (z 1500 na 2000 Kč), rámec SFDI 65,5 mld. Kč zachován pro rok 2020, od r. 2021 65,7 mld. Kč</t>
  </si>
  <si>
    <t>PO vrácení prostředků na nekrytá místa  - příslušenství</t>
  </si>
  <si>
    <t>vrácení prostředků na nekrytá místa- příslušenství</t>
  </si>
  <si>
    <t>OSS trvalé ROP - přesun 4 míst na MZV - agrární dipl. - delimitace  - příslušenství</t>
  </si>
  <si>
    <t>snížení dotace PGRLF (z částky 1,5 mld. Kč na 1 mld. Kč)</t>
  </si>
  <si>
    <t>OSS trvalé ROP - přesun 4 míst na MZV - agrární dipl. - delimitace  - platy</t>
  </si>
  <si>
    <t>PO vrácení prostředků na nekrytá místa - příslušenství</t>
  </si>
  <si>
    <t>pozemkové úpravy - účetní operace SZIF nástroj 187</t>
  </si>
  <si>
    <t>snížení výdajů na národní dotace</t>
  </si>
  <si>
    <t>soukromé školství</t>
  </si>
  <si>
    <t>církevní školství</t>
  </si>
  <si>
    <t>PO trvalé ROP - z RGŠ do ONIV - na financování soukr. školství - příslušenství</t>
  </si>
  <si>
    <t>PO RGŠ - omezení výdajů na inkluzi - příslušenství</t>
  </si>
  <si>
    <t>OSS aktualizace platů ÚČ (růst o 8 %) - 5022 - platy</t>
  </si>
  <si>
    <t xml:space="preserve">příslušenství - dopočet </t>
  </si>
  <si>
    <t>PO trvalé ROP - z RGŠ do ONIV - na financování soukr. školství - platy</t>
  </si>
  <si>
    <t>PO RGŠ - růst výkonů - část I. - včetně počtu míst - platy</t>
  </si>
  <si>
    <t>PO RGŠ - omezení výdajů na inkluzi - platy</t>
  </si>
  <si>
    <t>OSS navýšení objemu na platy o 2 %  - platy</t>
  </si>
  <si>
    <t>PO pedagogové - navýšení objemu na platy o 10 % (vč. 1 % na motivaci ohledně růstu výkonů - část II.) a 9 % od 2021 - platy</t>
  </si>
  <si>
    <t>PO RGŠ - růst výkonů - část I. - včetně počtu míst - příslušenství</t>
  </si>
  <si>
    <t>PO pedagogové - navýšení objemu na platy o 10 % (vč. 1 % na motivaci ohledně růstu výkonů - část II.) a 9 % od 2021 - příslušenství</t>
  </si>
  <si>
    <t>soukromé školství - nárůst platů v r. 2020 o  9 % a v roce 2021 o 10 %</t>
  </si>
  <si>
    <t>církevní  školství - nárůst platů v r. 2020 o  9 % a v roce 2021 o 10 %</t>
  </si>
  <si>
    <t>PO RGŠ - úspora modelu reformy školství  - platy (pedagogové)</t>
  </si>
  <si>
    <t>PO RGŠ - úspora modelu reformy školství  - příslušenství (pedagogové)</t>
  </si>
  <si>
    <t xml:space="preserve">PO trvalé ROP - z RGŠ z platů a příls.  do ONIV - na financování soukr. školství - zvýšení  výdajů kapitoly </t>
  </si>
  <si>
    <t>PO OPŘO - navýšení objemu na platy o 2 % -platy</t>
  </si>
  <si>
    <t xml:space="preserve">PO nepedagogové - navýšení objemu o 7 % 2020 a 7 % 2021 do PP 150 % 2017 - platy </t>
  </si>
  <si>
    <t>PO OPŘO - navýšení objemu na platy o 2 % -příslušenství</t>
  </si>
  <si>
    <t>PO nepedagogové - navýšení objemu o 7 % 2020 a 7 % 2021 do PP 150 % 2017 - příslušenství</t>
  </si>
  <si>
    <t xml:space="preserve">OSS vrácení prostředků na nekrytá místa - platy </t>
  </si>
  <si>
    <t xml:space="preserve">PO vrácení prostředků na nekrytá místa - platy </t>
  </si>
  <si>
    <t>PO vrácení prostředků na nekrytá místa -  příslušenství</t>
  </si>
  <si>
    <t>výdaje na sport</t>
  </si>
  <si>
    <t>finanční náhrada církvím - vliv inflace</t>
  </si>
  <si>
    <t>SFKMG - zákonný propočet dle výnosů z audiovizuálních poplatků</t>
  </si>
  <si>
    <t>další podpora pro Nadační fond obětem holocaustu (2020-2024)</t>
  </si>
  <si>
    <t xml:space="preserve">dotační tituly zejm. na aktivity spadající do samostatné působnosti ÚSC  </t>
  </si>
  <si>
    <t>investiční výdaje - posunutí v čase</t>
  </si>
  <si>
    <t>užší provozní výdaje kapitol - snížení o 10 % (bez VVI, ZRS, LZS)</t>
  </si>
  <si>
    <t>neuznatelné výdaje OPŽP pouze rok 2022</t>
  </si>
  <si>
    <t>paušální náhrady soudcům</t>
  </si>
  <si>
    <t>justiční areál Ústí nad Labem - úprava harmonogramu</t>
  </si>
  <si>
    <t>OSS trvalé ROP - přesun agendy z ÚV  - delimitace</t>
  </si>
  <si>
    <t>OSS aktualizace platů ÚČ (růst o 8 %) - 5022 soudci - platy</t>
  </si>
  <si>
    <t>OSS aktualizace platů ÚČ (růst o 8 %) - 5014 - platy</t>
  </si>
  <si>
    <t>OSS zrušení vlivu SDV 2020 a přesun do r. 2021 - 100 míst VSČR</t>
  </si>
  <si>
    <t>OSS trvalé ROP - přesun agendy z ÚV  - delimitace - příslušenství</t>
  </si>
  <si>
    <t>OSS zrušení vlivu SDV 2020 a přesun do r. 2021 - 100 míst VSČR - příslušenství</t>
  </si>
  <si>
    <t>OSS vrácení prostředků na nekrytá místa (mimo míst příslušníků bezpečn. sborů)- platy</t>
  </si>
  <si>
    <t>OSS vrácení prostředků na nekrytá místa (mimo míst příslušníků bezpečn. sborů)- příslušenství</t>
  </si>
  <si>
    <t>OSS aktualizace platů ÚČ (růst o 8 %) - 5022 soudci -  příslušenství</t>
  </si>
  <si>
    <t>OSS aktualizace platů ÚČ (růst o 8 %) - 5014 - příslušenství</t>
  </si>
  <si>
    <t>343-ÚOOÚ</t>
  </si>
  <si>
    <t>aktualizace platů ÚČ (růst o 8 %) - 5014 - platy</t>
  </si>
  <si>
    <t>aktualizace platů ÚČ (růst o 8 %) - 5014 -  příslušenství</t>
  </si>
  <si>
    <t>343-ÚOOÚ Celkem</t>
  </si>
  <si>
    <t>zvýšení výdajů ve vazbě na zvýšení nedaňových příjmů - ochranná známka EU P/V</t>
  </si>
  <si>
    <t>ukončení projektu - UNICEF P/V</t>
  </si>
  <si>
    <t xml:space="preserve">krácení o stanovené míry </t>
  </si>
  <si>
    <t>vrácení 50 % krácených prostředků</t>
  </si>
  <si>
    <t xml:space="preserve">snížení 25 míst bez peněz </t>
  </si>
  <si>
    <t>snížení 25 míst bez peněz   - příslušenství</t>
  </si>
  <si>
    <t>aktualizace platů ÚČ (růst o 8 %) - 5014 -- příslušenství</t>
  </si>
  <si>
    <t>353-ÚOHS</t>
  </si>
  <si>
    <t>353-ÚOHS Celkem</t>
  </si>
  <si>
    <t>aktualizace platů ÚČ (růst o 8 %) - 5022 - platy</t>
  </si>
  <si>
    <t>358-ÚS</t>
  </si>
  <si>
    <t xml:space="preserve">snížení ostatních výdajů kapitoly </t>
  </si>
  <si>
    <t>358-ÚS Celkem</t>
  </si>
  <si>
    <t>359-ÚNRR</t>
  </si>
  <si>
    <t>zvýšení výdajů na OPPP - platy</t>
  </si>
  <si>
    <t>zvýšení výdajů na OPPP - příslušenství</t>
  </si>
  <si>
    <t>zvýšení výdajů na OPPP - ostatní výdaje snížení</t>
  </si>
  <si>
    <t>nadpožadavek - OPPP - experti na makro analýzy - z OBV</t>
  </si>
  <si>
    <t>OPPP experti vč. přísl. - na vrub OBV</t>
  </si>
  <si>
    <t>úprava příslušenství - novela zák. č. 32/2019 - ze 25 na 24,8 %</t>
  </si>
  <si>
    <t>359-ÚNRR Celkem</t>
  </si>
  <si>
    <t>371-ÚDPSH</t>
  </si>
  <si>
    <t>provozní výdaje dle požadavku kapitoly</t>
  </si>
  <si>
    <t>užší provozní výdaje kapitol - snížení o 10 % (výdaje sníženy již v autonomním vývoji výdajů)</t>
  </si>
  <si>
    <t>aktualizace platů ÚČ (růst o 8 %) - 5014  - příslušenství</t>
  </si>
  <si>
    <t>371-ÚDPSH Celkem</t>
  </si>
  <si>
    <t>372-RRTV</t>
  </si>
  <si>
    <t>aktualizace platů ÚČ (růst o 8 %) - 5022 -  příslušenství</t>
  </si>
  <si>
    <t>372-RRTV Celkem</t>
  </si>
  <si>
    <t>373-ÚPDI</t>
  </si>
  <si>
    <t>373-ÚPDI Celkem</t>
  </si>
  <si>
    <t>374-SSHR</t>
  </si>
  <si>
    <t>snížení výdajů na pořizování nových státních rezerv</t>
  </si>
  <si>
    <t>374-SSHR Celkem</t>
  </si>
  <si>
    <t>kapitálové výdaje</t>
  </si>
  <si>
    <t>náhrada za neposkytnutí služební výstroje, lázeňské a rekondiční pobyty, příspěvek na stravování dle standardu PČR</t>
  </si>
  <si>
    <t>vrácení prostředků na nekrytá místa (mimo míst příslušníků bezpečn. sborů) - platy</t>
  </si>
  <si>
    <t>vrácení prostředků na nekrytá místa (mimo míst příslušníků bezpečn. sborů) - příslušenství</t>
  </si>
  <si>
    <t>prostředky na vybavení sídla NKÚ</t>
  </si>
  <si>
    <t>snížení ostatních výdajů - nájemné</t>
  </si>
  <si>
    <t xml:space="preserve">úprava příslušenství - novela zák. č. 32/2019 - ze 25 na 24,8 % - příslušenství </t>
  </si>
  <si>
    <t>397-OSFA</t>
  </si>
  <si>
    <t>UV 257/2019 vodní dílo Vlachovice - výkup pozemků  (celkem 705 mil. Kč)</t>
  </si>
  <si>
    <t>397-OSFA Celkem</t>
  </si>
  <si>
    <t>*) Tyto výdaje jsou součástí  celkových výdajů kapitol; údaje bez prostředků z rozpočtu EU</t>
  </si>
  <si>
    <t>užší provozní výdaje kapitol - snížení o 10 % (bez VVI, ZRS, PČR a HZS ČR)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</si>
</sst>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č_-;\-* #,##0.00\ _K_č_-;_-* &quot;-&quot;??\ _K_č_-;_-@_-"/>
    <numFmt numFmtId="164" formatCode="#,##0.000"/>
    <numFmt numFmtId="165" formatCode="#,##0.0"/>
    <numFmt numFmtId="166" formatCode="_-* #,##0\ _K_č_s_-;\-* #,##0\ _K_č_s_-;_-* &quot;-&quot;\ _K_č_s_-;_-@_-"/>
    <numFmt numFmtId="167" formatCode="d/\ m\Řs\ˇ\c\ yyyy"/>
    <numFmt numFmtId="168" formatCode="m\o\n\th\ d\,\ \y\y\y\y"/>
    <numFmt numFmtId="169" formatCode="0.0"/>
  </numFmts>
  <fonts count="98">
    <font>
      <sz val="10"/>
      <name val="Times New Roman CE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"/>
      <color indexed="8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</font>
    <font>
      <b/>
      <sz val="1"/>
      <color indexed="8"/>
      <name val="Courier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9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 CE"/>
      <family val="2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color indexed="53"/>
      <name val="Times New Roman CE"/>
      <family val="2"/>
      <charset val="238"/>
    </font>
    <font>
      <b/>
      <sz val="16"/>
      <name val="Times New Roman CE"/>
      <family val="2"/>
      <charset val="238"/>
    </font>
    <font>
      <sz val="16"/>
      <name val="Times New Roman CE"/>
      <family val="2"/>
      <charset val="238"/>
    </font>
    <font>
      <sz val="10"/>
      <color indexed="48"/>
      <name val="Times New Roman"/>
      <family val="1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i/>
      <sz val="10"/>
      <color indexed="18"/>
      <name val="Arial"/>
      <family val="2"/>
    </font>
    <font>
      <sz val="11"/>
      <color indexed="48"/>
      <name val="Calibri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  <font>
      <b/>
      <sz val="10"/>
      <color indexed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rgb="FFFF0000"/>
      <name val="Times New Roman CE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 CE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Arial CE"/>
      <family val="2"/>
    </font>
    <font>
      <b/>
      <sz val="25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"/>
      <color indexed="10"/>
      <name val="Times New Roman CE"/>
      <family val="2"/>
      <charset val="238"/>
    </font>
    <font>
      <sz val="10"/>
      <color indexed="10"/>
      <name val="Times New Roman CE"/>
      <family val="2"/>
      <charset val="238"/>
    </font>
    <font>
      <b/>
      <i/>
      <sz val="10"/>
      <color indexed="10"/>
      <name val="Times New Roman CE"/>
      <family val="2"/>
      <charset val="238"/>
    </font>
    <font>
      <b/>
      <sz val="10"/>
      <color indexed="10"/>
      <name val="Times New Roman CE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name val="Times New Roman CE"/>
      <family val="2"/>
    </font>
  </fonts>
  <fills count="93">
    <fill>
      <patternFill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FF00"/>
        <bgColor indexed="64"/>
      </patternFill>
    </fill>
  </fills>
  <borders count="15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/>
      <right/>
      <top style="thin">
        <color indexed="56"/>
      </top>
      <bottom style="double">
        <color indexed="56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58"/>
      </bottom>
    </border>
    <border>
      <left/>
      <right/>
      <top/>
      <bottom style="medium">
        <color indexed="58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17"/>
      </bottom>
    </border>
    <border>
      <left/>
      <right/>
      <top/>
      <bottom style="thick">
        <color indexed="56"/>
      </bottom>
    </border>
    <border>
      <left/>
      <right/>
      <top/>
      <bottom style="thick">
        <color indexed="27"/>
      </bottom>
    </border>
    <border>
      <left/>
      <right/>
      <top/>
      <bottom style="medium">
        <color indexed="27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double">
        <color indexed="10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double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double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/>
      <top style="medium">
        <color auto="1"/>
      </top>
      <bottom style="double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/>
      <top style="medium">
        <color auto="1"/>
      </top>
      <bottom style="double">
        <color auto="1"/>
      </bottom>
    </border>
    <border>
      <left style="double">
        <color auto="1"/>
      </left>
      <right/>
      <top style="medium">
        <color auto="1"/>
      </top>
      <bottom style="double">
        <color auto="1"/>
      </bottom>
    </border>
    <border>
      <left style="double">
        <color auto="1"/>
      </left>
      <right/>
      <top style="medium">
        <color auto="1"/>
      </top>
      <bottom style="thin">
        <color auto="1"/>
      </bottom>
    </border>
    <border>
      <left style="double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double">
        <color auto="1"/>
      </left>
      <right/>
      <top style="medium">
        <color auto="1"/>
      </top>
      <bottom style="medium">
        <color auto="1"/>
      </bottom>
    </border>
    <border>
      <left style="double">
        <color auto="1"/>
      </left>
      <right/>
      <top style="double">
        <color auto="1"/>
      </top>
      <bottom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/>
      <right style="thin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/>
      <right style="medium">
        <color auto="1"/>
      </right>
      <top style="double">
        <color auto="1"/>
      </top>
      <bottom/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rgb="FF000000"/>
      </right>
      <top/>
      <bottom style="thin">
        <color rgb="FFAAAAAA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/>
      <right style="thin">
        <color rgb="FF000000"/>
      </right>
      <top style="thin">
        <color rgb="FF000000"/>
      </top>
      <bottom style="thin">
        <color rgb="FFAAAAAA"/>
      </bottom>
    </border>
    <border>
      <left style="medium">
        <color auto="1"/>
      </left>
      <right style="double">
        <color auto="1"/>
      </right>
      <top style="double">
        <color auto="1"/>
      </top>
      <bottom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double">
        <color auto="1"/>
      </right>
      <top style="thin">
        <color auto="1"/>
      </top>
      <bottom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thin">
        <color auto="1"/>
      </right>
      <top/>
      <bottom style="thin">
        <color rgb="FFAAAAAA"/>
      </bottom>
    </border>
    <border>
      <left/>
      <right style="thin">
        <color auto="1"/>
      </right>
      <top/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auto="1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rgb="FF000000"/>
      </right>
      <top/>
      <bottom/>
    </border>
    <border>
      <left style="thin">
        <color auto="1"/>
      </left>
      <right style="thin">
        <color rgb="FF000000"/>
      </right>
      <top/>
      <bottom style="thin">
        <color rgb="FFAAAAAA"/>
      </bottom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auto="1"/>
      </bottom>
    </border>
    <border>
      <left/>
      <right style="thin">
        <color auto="1"/>
      </right>
      <top style="thin">
        <color rgb="FF000000"/>
      </top>
      <bottom style="thin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/>
      <top style="thin">
        <color rgb="FF000000"/>
      </top>
      <bottom style="thin">
        <color rgb="FF000000"/>
      </bottom>
    </border>
    <border>
      <left style="thin">
        <color auto="1"/>
      </left>
      <right/>
      <top style="thin">
        <color rgb="FFAAAAAA"/>
      </top>
      <bottom style="thin">
        <color rgb="FF000000"/>
      </bottom>
    </border>
    <border>
      <left/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rgb="FF000000"/>
      </right>
      <top style="thin">
        <color auto="1"/>
      </top>
      <bottom/>
    </border>
    <border>
      <left style="thin">
        <color auto="1"/>
      </left>
      <right style="thin">
        <color rgb="FF000000"/>
      </right>
      <top/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auto="1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auto="1"/>
      </bottom>
    </border>
    <border>
      <left style="thin">
        <color rgb="FF000000"/>
      </left>
      <right style="thin">
        <color auto="1"/>
      </right>
      <top style="thin">
        <color auto="1"/>
      </top>
      <bottom/>
    </border>
    <border>
      <left style="thin">
        <color rgb="FF000000"/>
      </left>
      <right style="thin">
        <color auto="1"/>
      </right>
      <top/>
      <bottom/>
    </border>
    <border>
      <left style="thin">
        <color rgb="FF000000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AAAAAA"/>
      </top>
      <bottom style="thin">
        <color rgb="FF000000"/>
      </bottom>
    </border>
  </borders>
  <cellStyleXfs count="24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>
      <alignment/>
      <protection locked="0"/>
    </xf>
    <xf numFmtId="0" fontId="3" fillId="0" borderId="0">
      <alignment/>
      <protection locked="0"/>
    </xf>
    <xf numFmtId="42" fontId="1" fillId="0" borderId="0" applyFont="0" applyFill="0" applyBorder="0" applyAlignment="0" applyProtection="0"/>
    <xf numFmtId="0" fontId="3" fillId="0" borderId="0">
      <alignment/>
      <protection locked="0"/>
    </xf>
    <xf numFmtId="41" fontId="1" fillId="0" borderId="0" applyFont="0" applyFill="0" applyBorder="0" applyAlignment="0" applyProtection="0"/>
    <xf numFmtId="0" fontId="3" fillId="0" borderId="0">
      <alignment/>
      <protection locked="0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7" borderId="0" applyNumberFormat="0" applyBorder="0" applyAlignment="0" applyProtection="0"/>
    <xf numFmtId="0" fontId="39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39" fillId="13" borderId="0" applyNumberFormat="0" applyBorder="0" applyAlignment="0" applyProtection="0"/>
    <xf numFmtId="0" fontId="39" fillId="8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40" fillId="19" borderId="0" applyNumberFormat="0" applyBorder="0" applyAlignment="0" applyProtection="0"/>
    <xf numFmtId="0" fontId="40" fillId="8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25" borderId="0" applyNumberFormat="0" applyBorder="0" applyAlignment="0" applyProtection="0"/>
    <xf numFmtId="0" fontId="4" fillId="32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23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5" fillId="23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41" fillId="39" borderId="0" applyNumberFormat="0" applyBorder="0" applyAlignment="0" applyProtection="0"/>
    <xf numFmtId="0" fontId="42" fillId="43" borderId="1" applyNumberFormat="0" applyAlignment="0" applyProtection="0"/>
    <xf numFmtId="0" fontId="6" fillId="0" borderId="2" applyNumberFormat="0" applyFill="0" applyAlignment="0" applyProtection="0"/>
    <xf numFmtId="166" fontId="7" fillId="0" borderId="0" applyFont="0" applyFill="0" applyBorder="0" applyAlignment="0" applyProtection="0"/>
    <xf numFmtId="168" fontId="3" fillId="0" borderId="0">
      <alignment/>
      <protection locked="0"/>
    </xf>
    <xf numFmtId="167" fontId="3" fillId="0" borderId="0">
      <alignment/>
      <protection locked="0"/>
    </xf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43" fillId="0" borderId="0" applyNumberFormat="0" applyFill="0" applyBorder="0" applyAlignment="0" applyProtection="0"/>
    <xf numFmtId="0" fontId="3" fillId="0" borderId="0">
      <alignment/>
      <protection locked="0"/>
    </xf>
    <xf numFmtId="0" fontId="4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0" borderId="0">
      <alignment/>
      <protection locked="0"/>
    </xf>
    <xf numFmtId="0" fontId="8" fillId="0" borderId="0">
      <alignment/>
      <protection locked="0"/>
    </xf>
    <xf numFmtId="0" fontId="10" fillId="33" borderId="6" applyNumberFormat="0" applyAlignment="0" applyProtection="0"/>
    <xf numFmtId="0" fontId="9" fillId="47" borderId="0" applyNumberFormat="0" applyBorder="0" applyAlignment="0" applyProtection="0"/>
    <xf numFmtId="0" fontId="44" fillId="40" borderId="1" applyNumberFormat="0" applyAlignment="0" applyProtection="0"/>
    <xf numFmtId="0" fontId="10" fillId="48" borderId="6" applyNumberFormat="0" applyAlignment="0" applyProtection="0"/>
    <xf numFmtId="0" fontId="20" fillId="0" borderId="7" applyNumberFormat="0" applyFill="0" applyAlignment="0" applyProtection="0"/>
    <xf numFmtId="0" fontId="3" fillId="0" borderId="0">
      <alignment/>
      <protection locked="0"/>
    </xf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8" fillId="0" borderId="0">
      <alignment/>
      <protection locked="0"/>
    </xf>
    <xf numFmtId="0" fontId="8" fillId="0" borderId="0">
      <alignment/>
      <protection locked="0"/>
    </xf>
    <xf numFmtId="0" fontId="14" fillId="0" borderId="0" applyNumberFormat="0" applyFill="0" applyBorder="0" applyAlignment="0" applyProtection="0"/>
    <xf numFmtId="0" fontId="20" fillId="40" borderId="0" applyNumberFormat="0" applyBorder="0" applyAlignment="0" applyProtection="0"/>
    <xf numFmtId="0" fontId="15" fillId="11" borderId="0" applyNumberFormat="0" applyBorder="0" applyAlignment="0" applyProtection="0"/>
    <xf numFmtId="0" fontId="16" fillId="0" borderId="0">
      <alignment/>
      <protection/>
    </xf>
    <xf numFmtId="0" fontId="7" fillId="0" borderId="0">
      <alignment/>
      <protection/>
    </xf>
    <xf numFmtId="0" fontId="0" fillId="0" borderId="0">
      <alignment/>
      <protection/>
    </xf>
    <xf numFmtId="0" fontId="7" fillId="0" borderId="0">
      <alignment/>
      <protection/>
    </xf>
    <xf numFmtId="0" fontId="27" fillId="0" borderId="0">
      <alignment/>
      <protection/>
    </xf>
    <xf numFmtId="0" fontId="2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9" fillId="39" borderId="1" applyNumberFormat="0" applyFont="0" applyAlignment="0" applyProtection="0"/>
    <xf numFmtId="0" fontId="23" fillId="43" borderId="11" applyNumberFormat="0" applyAlignment="0" applyProtection="0"/>
    <xf numFmtId="0" fontId="3" fillId="0" borderId="0">
      <alignment/>
      <protection locked="0"/>
    </xf>
    <xf numFmtId="0" fontId="0" fillId="4" borderId="12" applyNumberFormat="0" applyFont="0" applyAlignment="0" applyProtection="0"/>
    <xf numFmtId="0" fontId="17" fillId="0" borderId="13" applyNumberFormat="0" applyFill="0" applyAlignment="0" applyProtection="0"/>
    <xf numFmtId="0" fontId="18" fillId="11" borderId="1" applyNumberFormat="0" applyProtection="0">
      <alignment vertical="center"/>
    </xf>
    <xf numFmtId="0" fontId="18" fillId="11" borderId="1" applyNumberFormat="0" applyProtection="0">
      <alignment vertical="center"/>
    </xf>
    <xf numFmtId="0" fontId="18" fillId="11" borderId="1" applyNumberFormat="0" applyProtection="0">
      <alignment horizontal="left" vertical="center" indent="1"/>
    </xf>
    <xf numFmtId="0" fontId="45" fillId="11" borderId="14" applyNumberFormat="0" applyProtection="0">
      <alignment horizontal="left" vertical="top" indent="1"/>
    </xf>
    <xf numFmtId="0" fontId="19" fillId="12" borderId="1" applyNumberFormat="0" applyProtection="0">
      <alignment horizontal="right" vertical="center"/>
    </xf>
    <xf numFmtId="0" fontId="19" fillId="49" borderId="1" applyNumberFormat="0" applyProtection="0">
      <alignment horizontal="right" vertical="center"/>
    </xf>
    <xf numFmtId="0" fontId="19" fillId="50" borderId="15" applyNumberFormat="0" applyProtection="0">
      <alignment horizontal="right" vertical="center"/>
    </xf>
    <xf numFmtId="0" fontId="19" fillId="18" borderId="1" applyNumberFormat="0" applyProtection="0">
      <alignment horizontal="right" vertical="center"/>
    </xf>
    <xf numFmtId="0" fontId="19" fillId="51" borderId="1" applyNumberFormat="0" applyProtection="0">
      <alignment horizontal="right" vertical="center"/>
    </xf>
    <xf numFmtId="0" fontId="19" fillId="17" borderId="1" applyNumberFormat="0" applyProtection="0">
      <alignment horizontal="right" vertical="center"/>
    </xf>
    <xf numFmtId="0" fontId="19" fillId="14" borderId="1" applyNumberFormat="0" applyProtection="0">
      <alignment horizontal="right" vertical="center"/>
    </xf>
    <xf numFmtId="0" fontId="19" fillId="9" borderId="1" applyNumberFormat="0" applyProtection="0">
      <alignment horizontal="right" vertical="center"/>
    </xf>
    <xf numFmtId="0" fontId="19" fillId="52" borderId="1" applyNumberFormat="0" applyProtection="0">
      <alignment horizontal="right" vertical="center"/>
    </xf>
    <xf numFmtId="0" fontId="19" fillId="53" borderId="15" applyNumberFormat="0" applyProtection="0">
      <alignment horizontal="left" vertical="center" indent="1"/>
    </xf>
    <xf numFmtId="0" fontId="18" fillId="0" borderId="0">
      <alignment/>
      <protection/>
    </xf>
    <xf numFmtId="0" fontId="19" fillId="0" borderId="0">
      <alignment horizontal="left"/>
      <protection/>
    </xf>
    <xf numFmtId="0" fontId="46" fillId="19" borderId="0">
      <alignment/>
      <protection/>
    </xf>
    <xf numFmtId="0" fontId="1" fillId="16" borderId="15" applyNumberFormat="0" applyProtection="0">
      <alignment horizontal="left" vertical="center" indent="1"/>
    </xf>
    <xf numFmtId="0" fontId="1" fillId="16" borderId="15" applyNumberFormat="0" applyProtection="0">
      <alignment horizontal="left" vertical="center" indent="1"/>
    </xf>
    <xf numFmtId="0" fontId="19" fillId="54" borderId="1" applyNumberFormat="0" applyProtection="0">
      <alignment horizontal="right" vertical="center"/>
    </xf>
    <xf numFmtId="0" fontId="19" fillId="7" borderId="15" applyNumberFormat="0" applyProtection="0">
      <alignment horizontal="left" vertical="center" indent="1"/>
    </xf>
    <xf numFmtId="0" fontId="19" fillId="8" borderId="15" applyNumberFormat="0" applyProtection="0">
      <alignment horizontal="left" vertical="center" indent="1"/>
    </xf>
    <xf numFmtId="0" fontId="19" fillId="13" borderId="1" applyNumberFormat="0" applyProtection="0">
      <alignment horizontal="left" vertical="center" indent="1"/>
    </xf>
    <xf numFmtId="0" fontId="19" fillId="16" borderId="14" applyNumberFormat="0" applyProtection="0">
      <alignment horizontal="left" vertical="top" indent="1"/>
    </xf>
    <xf numFmtId="0" fontId="19" fillId="55" borderId="1" applyNumberFormat="0" applyProtection="0">
      <alignment horizontal="left" vertical="center" indent="1"/>
    </xf>
    <xf numFmtId="0" fontId="19" fillId="8" borderId="14" applyNumberFormat="0" applyProtection="0">
      <alignment horizontal="left" vertical="top" indent="1"/>
    </xf>
    <xf numFmtId="0" fontId="19" fillId="2" borderId="1" applyNumberFormat="0" applyProtection="0">
      <alignment horizontal="left" vertical="center" indent="1"/>
    </xf>
    <xf numFmtId="0" fontId="19" fillId="2" borderId="14" applyNumberFormat="0" applyProtection="0">
      <alignment horizontal="left" vertical="top" indent="1"/>
    </xf>
    <xf numFmtId="0" fontId="19" fillId="7" borderId="1" applyNumberFormat="0" applyProtection="0">
      <alignment horizontal="left" vertical="center" indent="1"/>
    </xf>
    <xf numFmtId="0" fontId="19" fillId="7" borderId="14" applyNumberFormat="0" applyProtection="0">
      <alignment horizontal="left" vertical="top" indent="1"/>
    </xf>
    <xf numFmtId="0" fontId="19" fillId="56" borderId="1" applyNumberFormat="0" applyProtection="0">
      <alignment horizontal="left" vertical="center" indent="1"/>
    </xf>
    <xf numFmtId="0" fontId="19" fillId="57" borderId="16" applyNumberFormat="0">
      <alignment/>
      <protection locked="0"/>
    </xf>
    <xf numFmtId="0" fontId="18" fillId="16" borderId="17" applyBorder="0">
      <alignment/>
      <protection/>
    </xf>
    <xf numFmtId="0" fontId="47" fillId="4" borderId="14" applyNumberFormat="0" applyProtection="0">
      <alignment vertical="center"/>
    </xf>
    <xf numFmtId="0" fontId="48" fillId="4" borderId="18" applyNumberFormat="0" applyProtection="0">
      <alignment vertical="center"/>
    </xf>
    <xf numFmtId="0" fontId="47" fillId="13" borderId="14" applyNumberFormat="0" applyProtection="0">
      <alignment horizontal="left" vertical="center" indent="1"/>
    </xf>
    <xf numFmtId="0" fontId="47" fillId="4" borderId="14" applyNumberFormat="0" applyProtection="0">
      <alignment horizontal="left" vertical="top" indent="1"/>
    </xf>
    <xf numFmtId="0" fontId="19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9" fillId="56" borderId="1" applyNumberFormat="0" applyProtection="0">
      <alignment horizontal="left" vertical="center" indent="1"/>
    </xf>
    <xf numFmtId="0" fontId="47" fillId="8" borderId="14" applyNumberFormat="0" applyProtection="0">
      <alignment horizontal="left" vertical="top" indent="1"/>
    </xf>
    <xf numFmtId="0" fontId="49" fillId="58" borderId="15" applyNumberFormat="0" applyProtection="0">
      <alignment horizontal="left" vertical="center" indent="1"/>
    </xf>
    <xf numFmtId="0" fontId="19" fillId="59" borderId="18">
      <alignment/>
      <protection/>
    </xf>
    <xf numFmtId="0" fontId="50" fillId="57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19">
      <alignment/>
      <protection locked="0"/>
    </xf>
    <xf numFmtId="0" fontId="21" fillId="11" borderId="20" applyNumberFormat="0" applyAlignment="0" applyProtection="0"/>
    <xf numFmtId="0" fontId="22" fillId="57" borderId="20" applyNumberFormat="0" applyAlignment="0" applyProtection="0"/>
    <xf numFmtId="0" fontId="23" fillId="57" borderId="11" applyNumberFormat="0" applyAlignment="0" applyProtection="0"/>
    <xf numFmtId="0" fontId="2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60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6" borderId="0" applyNumberFormat="0" applyBorder="0" applyAlignment="0" applyProtection="0"/>
    <xf numFmtId="0" fontId="5" fillId="56" borderId="0" applyNumberFormat="0" applyBorder="0" applyAlignment="0" applyProtection="0"/>
    <xf numFmtId="0" fontId="5" fillId="50" borderId="0" applyNumberFormat="0" applyBorder="0" applyAlignment="0" applyProtection="0"/>
    <xf numFmtId="0" fontId="1" fillId="0" borderId="0">
      <alignment/>
      <protection/>
    </xf>
    <xf numFmtId="0" fontId="2" fillId="0" borderId="0">
      <alignment/>
      <protection/>
    </xf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61" borderId="0" applyNumberFormat="0" applyBorder="0" applyAlignment="0" applyProtection="0"/>
    <xf numFmtId="0" fontId="63" fillId="62" borderId="0" applyNumberFormat="0" applyBorder="0" applyAlignment="0" applyProtection="0"/>
    <xf numFmtId="0" fontId="64" fillId="63" borderId="0" applyNumberFormat="0" applyBorder="0" applyAlignment="0" applyProtection="0"/>
    <xf numFmtId="0" fontId="65" fillId="64" borderId="24" applyNumberFormat="0" applyAlignment="0" applyProtection="0"/>
    <xf numFmtId="0" fontId="66" fillId="65" borderId="25" applyNumberFormat="0" applyAlignment="0" applyProtection="0"/>
    <xf numFmtId="0" fontId="67" fillId="65" borderId="24" applyNumberFormat="0" applyAlignment="0" applyProtection="0"/>
    <xf numFmtId="0" fontId="68" fillId="0" borderId="26" applyNumberFormat="0" applyFill="0" applyAlignment="0" applyProtection="0"/>
    <xf numFmtId="0" fontId="69" fillId="66" borderId="27" applyNumberFormat="0" applyAlignment="0" applyProtection="0"/>
    <xf numFmtId="0" fontId="70" fillId="0" borderId="0" applyNumberFormat="0" applyFill="0" applyBorder="0" applyAlignment="0" applyProtection="0"/>
    <xf numFmtId="0" fontId="2" fillId="67" borderId="28" applyNumberFormat="0" applyFont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73" fillId="71" borderId="0" applyNumberFormat="0" applyBorder="0" applyAlignment="0" applyProtection="0"/>
    <xf numFmtId="0" fontId="73" fillId="72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73" fillId="75" borderId="0" applyNumberFormat="0" applyBorder="0" applyAlignment="0" applyProtection="0"/>
    <xf numFmtId="0" fontId="73" fillId="76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73" fillId="79" borderId="0" applyNumberFormat="0" applyBorder="0" applyAlignment="0" applyProtection="0"/>
    <xf numFmtId="0" fontId="73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73" fillId="83" borderId="0" applyNumberFormat="0" applyBorder="0" applyAlignment="0" applyProtection="0"/>
    <xf numFmtId="0" fontId="73" fillId="84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73" fillId="87" borderId="0" applyNumberFormat="0" applyBorder="0" applyAlignment="0" applyProtection="0"/>
    <xf numFmtId="0" fontId="73" fillId="88" borderId="0" applyNumberFormat="0" applyBorder="0" applyAlignment="0" applyProtection="0"/>
    <xf numFmtId="0" fontId="2" fillId="89" borderId="0" applyNumberFormat="0" applyBorder="0" applyAlignment="0" applyProtection="0"/>
    <xf numFmtId="0" fontId="2" fillId="90" borderId="0" applyNumberFormat="0" applyBorder="0" applyAlignment="0" applyProtection="0"/>
    <xf numFmtId="0" fontId="73" fillId="91" borderId="0" applyNumberFormat="0" applyBorder="0" applyAlignment="0" applyProtection="0"/>
    <xf numFmtId="0" fontId="0" fillId="0" borderId="0">
      <alignment/>
      <protection/>
    </xf>
    <xf numFmtId="0" fontId="7" fillId="0" borderId="0">
      <alignment/>
      <protection/>
    </xf>
    <xf numFmtId="0" fontId="84" fillId="0" borderId="0">
      <alignment/>
      <protection/>
    </xf>
    <xf numFmtId="0" fontId="7" fillId="0" borderId="0">
      <alignment/>
      <protection/>
    </xf>
    <xf numFmtId="0" fontId="7" fillId="0" borderId="0">
      <alignment/>
      <protection/>
    </xf>
    <xf numFmtId="43" fontId="0" fillId="0" borderId="0" applyFont="0" applyFill="0" applyBorder="0" applyAlignment="0" applyProtection="0"/>
  </cellStyleXfs>
  <cellXfs count="605">
    <xf numFmtId="0" fontId="0" fillId="0" borderId="0" xfId="0"/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5" fillId="0" borderId="0" xfId="0" applyFont="1" applyFill="1" applyAlignment="1">
      <alignment horizontal="left"/>
    </xf>
    <xf numFmtId="0" fontId="0" fillId="0" borderId="30" xfId="120" applyFont="1" applyBorder="1" applyAlignment="1">
      <alignment horizontal="center" vertical="center"/>
      <protection/>
    </xf>
    <xf numFmtId="0" fontId="0" fillId="0" borderId="30" xfId="0" applyFont="1" applyBorder="1" applyAlignment="1">
      <alignment vertical="center"/>
    </xf>
    <xf numFmtId="3" fontId="0" fillId="0" borderId="31" xfId="0" applyNumberFormat="1" applyFont="1" applyBorder="1" applyAlignment="1" quotePrefix="1">
      <alignment vertical="center"/>
    </xf>
    <xf numFmtId="0" fontId="0" fillId="0" borderId="32" xfId="120" applyFont="1" applyBorder="1" applyAlignment="1">
      <alignment horizontal="center" vertical="center"/>
      <protection/>
    </xf>
    <xf numFmtId="0" fontId="0" fillId="0" borderId="32" xfId="0" applyFont="1" applyBorder="1" applyAlignment="1">
      <alignment vertical="center"/>
    </xf>
    <xf numFmtId="0" fontId="0" fillId="0" borderId="33" xfId="120" applyFont="1" applyBorder="1" applyAlignment="1">
      <alignment vertical="center"/>
      <protection/>
    </xf>
    <xf numFmtId="0" fontId="0" fillId="0" borderId="33" xfId="0" applyFont="1" applyBorder="1" applyAlignment="1">
      <alignment vertical="center"/>
    </xf>
    <xf numFmtId="3" fontId="0" fillId="0" borderId="34" xfId="0" applyNumberFormat="1" applyFont="1" applyBorder="1" applyAlignment="1" quotePrefix="1">
      <alignment vertical="center"/>
    </xf>
    <xf numFmtId="0" fontId="0" fillId="0" borderId="35" xfId="120" applyFont="1" applyBorder="1" applyAlignment="1">
      <alignment vertical="center"/>
      <protection/>
    </xf>
    <xf numFmtId="0" fontId="0" fillId="0" borderId="35" xfId="0" applyFont="1" applyBorder="1" applyAlignment="1">
      <alignment vertical="center"/>
    </xf>
    <xf numFmtId="3" fontId="0" fillId="0" borderId="36" xfId="0" applyNumberFormat="1" applyFont="1" applyBorder="1" applyAlignment="1" quotePrefix="1">
      <alignment vertical="center"/>
    </xf>
    <xf numFmtId="3" fontId="0" fillId="0" borderId="37" xfId="120" applyNumberFormat="1" applyFont="1" applyBorder="1" applyAlignment="1">
      <alignment vertical="center"/>
      <protection/>
    </xf>
    <xf numFmtId="3" fontId="0" fillId="0" borderId="37" xfId="0" applyNumberFormat="1" applyFont="1" applyBorder="1" applyAlignment="1">
      <alignment vertical="center"/>
    </xf>
    <xf numFmtId="3" fontId="26" fillId="0" borderId="38" xfId="0" applyNumberFormat="1" applyFont="1" applyBorder="1" applyAlignment="1">
      <alignment vertical="center"/>
    </xf>
    <xf numFmtId="0" fontId="0" fillId="0" borderId="0" xfId="0" applyFont="1" applyFill="1"/>
    <xf numFmtId="3" fontId="0" fillId="0" borderId="39" xfId="0" applyNumberFormat="1" applyFont="1" applyBorder="1" applyAlignment="1" quotePrefix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Fill="1" applyAlignment="1">
      <alignment horizontal="centerContinuous"/>
    </xf>
    <xf numFmtId="0" fontId="0" fillId="0" borderId="0" xfId="0" applyFont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0" fillId="0" borderId="40" xfId="0" applyNumberFormat="1" applyFont="1" applyBorder="1" applyAlignment="1" quotePrefix="1">
      <alignment vertical="center"/>
    </xf>
    <xf numFmtId="0" fontId="27" fillId="0" borderId="0" xfId="123" applyFill="1">
      <alignment/>
      <protection/>
    </xf>
    <xf numFmtId="0" fontId="27" fillId="0" borderId="0" xfId="123" applyFill="1" applyAlignment="1">
      <alignment horizontal="right"/>
      <protection/>
    </xf>
    <xf numFmtId="0" fontId="27" fillId="0" borderId="0" xfId="123">
      <alignment/>
      <protection/>
    </xf>
    <xf numFmtId="0" fontId="27" fillId="0" borderId="30" xfId="123" applyBorder="1" applyAlignment="1">
      <alignment horizontal="center" vertical="center"/>
      <protection/>
    </xf>
    <xf numFmtId="0" fontId="27" fillId="0" borderId="41" xfId="123" applyFill="1" applyBorder="1" applyAlignment="1">
      <alignment vertical="center"/>
      <protection/>
    </xf>
    <xf numFmtId="0" fontId="27" fillId="0" borderId="32" xfId="123" applyBorder="1" applyAlignment="1">
      <alignment horizontal="center" vertical="center"/>
      <protection/>
    </xf>
    <xf numFmtId="0" fontId="29" fillId="0" borderId="42" xfId="123" applyFont="1" applyFill="1" applyBorder="1" applyAlignment="1">
      <alignment vertical="center"/>
      <protection/>
    </xf>
    <xf numFmtId="3" fontId="29" fillId="0" borderId="18" xfId="123" applyNumberFormat="1" applyFont="1" applyFill="1" applyBorder="1" applyAlignment="1">
      <alignment horizontal="right" vertical="center" indent="1"/>
      <protection/>
    </xf>
    <xf numFmtId="0" fontId="27" fillId="0" borderId="42" xfId="123" applyFill="1" applyBorder="1" applyAlignment="1">
      <alignment vertical="center"/>
      <protection/>
    </xf>
    <xf numFmtId="0" fontId="27" fillId="0" borderId="35" xfId="123" applyBorder="1" applyAlignment="1">
      <alignment horizontal="center" vertical="center"/>
      <protection/>
    </xf>
    <xf numFmtId="0" fontId="27" fillId="0" borderId="43" xfId="123" applyFill="1" applyBorder="1" applyAlignment="1">
      <alignment vertical="center"/>
      <protection/>
    </xf>
    <xf numFmtId="0" fontId="27" fillId="0" borderId="37" xfId="123" applyBorder="1" applyAlignment="1">
      <alignment vertical="center"/>
      <protection/>
    </xf>
    <xf numFmtId="0" fontId="28" fillId="0" borderId="44" xfId="123" applyFont="1" applyFill="1" applyBorder="1" applyAlignment="1">
      <alignment vertical="center" wrapText="1"/>
      <protection/>
    </xf>
    <xf numFmtId="3" fontId="28" fillId="0" borderId="38" xfId="123" applyNumberFormat="1" applyFont="1" applyFill="1" applyBorder="1" applyAlignment="1">
      <alignment horizontal="right" vertical="center" indent="1"/>
      <protection/>
    </xf>
    <xf numFmtId="0" fontId="28" fillId="0" borderId="0" xfId="123" applyFont="1" applyFill="1">
      <alignment/>
      <protection/>
    </xf>
    <xf numFmtId="3" fontId="28" fillId="0" borderId="0" xfId="123" applyNumberFormat="1" applyFont="1" applyFill="1">
      <alignment/>
      <protection/>
    </xf>
    <xf numFmtId="3" fontId="27" fillId="0" borderId="0" xfId="123" applyNumberFormat="1" applyFill="1">
      <alignment/>
      <protection/>
    </xf>
    <xf numFmtId="0" fontId="27" fillId="0" borderId="0" xfId="122" applyFont="1" applyFill="1" applyAlignment="1">
      <alignment vertical="center"/>
      <protection/>
    </xf>
    <xf numFmtId="0" fontId="27" fillId="0" borderId="0" xfId="123" applyFill="1" applyAlignment="1">
      <alignment vertical="center"/>
      <protection/>
    </xf>
    <xf numFmtId="3" fontId="27" fillId="0" borderId="0" xfId="122" applyNumberFormat="1" applyFill="1" applyAlignment="1">
      <alignment vertical="center"/>
      <protection/>
    </xf>
    <xf numFmtId="3" fontId="27" fillId="0" borderId="0" xfId="123" applyNumberFormat="1" applyFill="1" applyAlignment="1">
      <alignment vertical="center"/>
      <protection/>
    </xf>
    <xf numFmtId="3" fontId="0" fillId="0" borderId="45" xfId="0" applyNumberFormat="1" applyFont="1" applyBorder="1" applyAlignment="1" quotePrefix="1">
      <alignment vertical="center"/>
    </xf>
    <xf numFmtId="3" fontId="26" fillId="0" borderId="46" xfId="0" applyNumberFormat="1" applyFont="1" applyBorder="1" applyAlignment="1">
      <alignment vertical="center"/>
    </xf>
    <xf numFmtId="3" fontId="0" fillId="0" borderId="31" xfId="0" applyNumberFormat="1" applyFont="1" applyFill="1" applyBorder="1" applyAlignment="1" quotePrefix="1">
      <alignment vertical="center"/>
    </xf>
    <xf numFmtId="0" fontId="0" fillId="0" borderId="47" xfId="120" applyFont="1" applyBorder="1" applyAlignment="1">
      <alignment horizontal="center" vertical="center"/>
      <protection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27" fillId="0" borderId="47" xfId="123" applyBorder="1" applyAlignment="1">
      <alignment horizontal="center" vertical="center"/>
      <protection/>
    </xf>
    <xf numFmtId="0" fontId="27" fillId="0" borderId="49" xfId="123" applyFill="1" applyBorder="1" applyAlignment="1">
      <alignment horizontal="center" vertical="center"/>
      <protection/>
    </xf>
    <xf numFmtId="0" fontId="27" fillId="0" borderId="48" xfId="123" applyFill="1" applyBorder="1" applyAlignment="1">
      <alignment horizontal="center" vertical="center"/>
      <protection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horizontal="center" vertical="center" wrapText="1"/>
    </xf>
    <xf numFmtId="0" fontId="27" fillId="0" borderId="49" xfId="123" applyFont="1" applyFill="1" applyBorder="1" applyAlignment="1">
      <alignment horizontal="center" vertical="center" wrapText="1"/>
      <protection/>
    </xf>
    <xf numFmtId="0" fontId="0" fillId="0" borderId="50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0" fontId="0" fillId="0" borderId="47" xfId="0" applyFont="1" applyFill="1" applyBorder="1" applyAlignment="1">
      <alignment horizontal="left" vertical="center" wrapText="1"/>
    </xf>
    <xf numFmtId="3" fontId="0" fillId="0" borderId="48" xfId="0" applyNumberFormat="1" applyFont="1" applyBorder="1" applyAlignment="1" quotePrefix="1">
      <alignment vertical="center"/>
    </xf>
    <xf numFmtId="0" fontId="0" fillId="0" borderId="0" xfId="126" applyFont="1" applyFill="1">
      <alignment/>
      <protection/>
    </xf>
    <xf numFmtId="0" fontId="26" fillId="0" borderId="51" xfId="126" applyFont="1" applyFill="1" applyBorder="1" applyAlignment="1">
      <alignment vertical="center"/>
      <protection/>
    </xf>
    <xf numFmtId="3" fontId="0" fillId="0" borderId="0" xfId="126" applyNumberFormat="1" applyFont="1" applyFill="1">
      <alignment/>
      <protection/>
    </xf>
    <xf numFmtId="0" fontId="26" fillId="0" borderId="52" xfId="126" applyFont="1" applyFill="1" applyBorder="1" applyAlignment="1">
      <alignment vertical="center"/>
      <protection/>
    </xf>
    <xf numFmtId="0" fontId="26" fillId="0" borderId="53" xfId="126" applyFont="1" applyFill="1" applyBorder="1" applyAlignment="1">
      <alignment vertical="center"/>
      <protection/>
    </xf>
    <xf numFmtId="0" fontId="0" fillId="0" borderId="49" xfId="0" applyFont="1" applyFill="1" applyBorder="1" applyAlignment="1">
      <alignment horizontal="center" vertical="center" wrapText="1"/>
    </xf>
    <xf numFmtId="4" fontId="0" fillId="0" borderId="4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2" xfId="124" applyFill="1" applyBorder="1" applyAlignment="1">
      <alignment vertical="center" wrapText="1"/>
      <protection/>
    </xf>
    <xf numFmtId="0" fontId="0" fillId="0" borderId="32" xfId="124" applyFont="1" applyFill="1" applyBorder="1" applyAlignment="1">
      <alignment vertical="center" wrapText="1"/>
      <protection/>
    </xf>
    <xf numFmtId="0" fontId="27" fillId="0" borderId="41" xfId="123" applyFont="1" applyFill="1" applyBorder="1" applyAlignment="1">
      <alignment vertical="center"/>
      <protection/>
    </xf>
    <xf numFmtId="3" fontId="29" fillId="0" borderId="42" xfId="123" applyNumberFormat="1" applyFont="1" applyFill="1" applyBorder="1" applyAlignment="1">
      <alignment vertical="center"/>
      <protection/>
    </xf>
    <xf numFmtId="3" fontId="27" fillId="0" borderId="54" xfId="123" applyNumberFormat="1" applyFont="1" applyFill="1" applyBorder="1" applyAlignment="1">
      <alignment vertical="center"/>
      <protection/>
    </xf>
    <xf numFmtId="3" fontId="27" fillId="0" borderId="0" xfId="123" applyNumberFormat="1">
      <alignment/>
      <protection/>
    </xf>
    <xf numFmtId="3" fontId="27" fillId="0" borderId="55" xfId="123" applyNumberFormat="1" applyFont="1" applyFill="1" applyBorder="1" applyAlignment="1">
      <alignment horizontal="right" vertical="center" indent="1"/>
      <protection/>
    </xf>
    <xf numFmtId="3" fontId="27" fillId="0" borderId="43" xfId="123" applyNumberFormat="1" applyFont="1" applyFill="1" applyBorder="1" applyAlignment="1">
      <alignment vertical="center"/>
      <protection/>
    </xf>
    <xf numFmtId="3" fontId="27" fillId="0" borderId="36" xfId="123" applyNumberFormat="1" applyFont="1" applyFill="1" applyBorder="1" applyAlignment="1">
      <alignment horizontal="right" vertical="center" indent="1"/>
      <protection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38" fillId="0" borderId="30" xfId="123" applyFont="1" applyBorder="1" applyAlignment="1">
      <alignment horizontal="center" vertical="center"/>
      <protection/>
    </xf>
    <xf numFmtId="0" fontId="38" fillId="0" borderId="41" xfId="123" applyFont="1" applyFill="1" applyBorder="1" applyAlignment="1">
      <alignment vertical="center"/>
      <protection/>
    </xf>
    <xf numFmtId="3" fontId="38" fillId="0" borderId="31" xfId="123" applyNumberFormat="1" applyFont="1" applyFill="1" applyBorder="1" applyAlignment="1">
      <alignment horizontal="right" vertical="center" indent="1"/>
      <protection/>
    </xf>
    <xf numFmtId="0" fontId="38" fillId="0" borderId="0" xfId="123" applyFont="1">
      <alignment/>
      <protection/>
    </xf>
    <xf numFmtId="3" fontId="0" fillId="0" borderId="41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0" fillId="0" borderId="43" xfId="0" applyNumberFormat="1" applyFont="1" applyFill="1" applyBorder="1" applyAlignment="1">
      <alignment vertical="center"/>
    </xf>
    <xf numFmtId="3" fontId="26" fillId="0" borderId="38" xfId="0" applyNumberFormat="1" applyFont="1" applyFill="1" applyBorder="1" applyAlignment="1">
      <alignment vertical="center"/>
    </xf>
    <xf numFmtId="3" fontId="0" fillId="0" borderId="50" xfId="0" applyNumberFormat="1" applyFont="1" applyBorder="1" applyAlignment="1">
      <alignment vertical="center"/>
    </xf>
    <xf numFmtId="0" fontId="0" fillId="0" borderId="49" xfId="0" applyFont="1" applyBorder="1" applyAlignment="1">
      <alignment horizontal="center" vertical="center"/>
    </xf>
    <xf numFmtId="0" fontId="0" fillId="0" borderId="0" xfId="0" applyFill="1"/>
    <xf numFmtId="0" fontId="36" fillId="0" borderId="0" xfId="0" applyFont="1" applyFill="1" applyAlignment="1">
      <alignment/>
    </xf>
    <xf numFmtId="0" fontId="32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27" fillId="0" borderId="0" xfId="192" applyFont="1">
      <alignment/>
      <protection/>
    </xf>
    <xf numFmtId="0" fontId="27" fillId="0" borderId="0" xfId="192" applyFont="1" applyAlignment="1">
      <alignment horizontal="center"/>
      <protection/>
    </xf>
    <xf numFmtId="3" fontId="27" fillId="0" borderId="0" xfId="192" applyNumberFormat="1" applyFont="1">
      <alignment/>
      <protection/>
    </xf>
    <xf numFmtId="0" fontId="27" fillId="0" borderId="56" xfId="192" applyFont="1" applyFill="1" applyBorder="1">
      <alignment/>
      <protection/>
    </xf>
    <xf numFmtId="0" fontId="27" fillId="0" borderId="57" xfId="192" applyFont="1" applyFill="1" applyBorder="1" applyAlignment="1">
      <alignment horizontal="center" vertical="center"/>
      <protection/>
    </xf>
    <xf numFmtId="1" fontId="27" fillId="0" borderId="58" xfId="192" applyNumberFormat="1" applyFont="1" applyFill="1" applyBorder="1" applyAlignment="1">
      <alignment horizontal="center" vertical="center" wrapText="1"/>
      <protection/>
    </xf>
    <xf numFmtId="0" fontId="27" fillId="0" borderId="33" xfId="192" applyFont="1" applyFill="1" applyBorder="1">
      <alignment/>
      <protection/>
    </xf>
    <xf numFmtId="0" fontId="27" fillId="0" borderId="34" xfId="192" applyFont="1" applyFill="1" applyBorder="1">
      <alignment/>
      <protection/>
    </xf>
    <xf numFmtId="0" fontId="27" fillId="0" borderId="34" xfId="192" applyFont="1" applyFill="1" applyBorder="1" applyAlignment="1">
      <alignment horizontal="center"/>
      <protection/>
    </xf>
    <xf numFmtId="1" fontId="27" fillId="0" borderId="59" xfId="192" applyNumberFormat="1" applyFont="1" applyFill="1" applyBorder="1" applyAlignment="1">
      <alignment horizontal="center"/>
      <protection/>
    </xf>
    <xf numFmtId="0" fontId="28" fillId="0" borderId="47" xfId="192" applyFont="1" applyFill="1" applyBorder="1" applyAlignment="1">
      <alignment horizontal="center"/>
      <protection/>
    </xf>
    <xf numFmtId="0" fontId="28" fillId="0" borderId="48" xfId="192" applyFont="1" applyFill="1" applyBorder="1">
      <alignment/>
      <protection/>
    </xf>
    <xf numFmtId="0" fontId="28" fillId="0" borderId="48" xfId="192" applyFont="1" applyFill="1" applyBorder="1" applyAlignment="1">
      <alignment horizontal="center"/>
      <protection/>
    </xf>
    <xf numFmtId="3" fontId="52" fillId="0" borderId="48" xfId="192" applyNumberFormat="1" applyFont="1" applyFill="1" applyBorder="1">
      <alignment/>
      <protection/>
    </xf>
    <xf numFmtId="3" fontId="52" fillId="0" borderId="60" xfId="192" applyNumberFormat="1" applyFont="1" applyFill="1" applyBorder="1">
      <alignment/>
      <protection/>
    </xf>
    <xf numFmtId="0" fontId="27" fillId="0" borderId="30" xfId="192" applyFont="1" applyFill="1" applyBorder="1" applyAlignment="1">
      <alignment horizontal="center"/>
      <protection/>
    </xf>
    <xf numFmtId="0" fontId="27" fillId="0" borderId="31" xfId="192" applyFont="1" applyFill="1" applyBorder="1">
      <alignment/>
      <protection/>
    </xf>
    <xf numFmtId="0" fontId="27" fillId="0" borderId="31" xfId="192" applyFont="1" applyFill="1" applyBorder="1" applyAlignment="1">
      <alignment horizontal="center"/>
      <protection/>
    </xf>
    <xf numFmtId="3" fontId="53" fillId="0" borderId="31" xfId="192" applyNumberFormat="1" applyFont="1" applyFill="1" applyBorder="1">
      <alignment/>
      <protection/>
    </xf>
    <xf numFmtId="3" fontId="53" fillId="0" borderId="61" xfId="192" applyNumberFormat="1" applyFont="1" applyFill="1" applyBorder="1">
      <alignment/>
      <protection/>
    </xf>
    <xf numFmtId="0" fontId="54" fillId="0" borderId="31" xfId="192" applyFont="1" applyFill="1" applyBorder="1" applyAlignment="1">
      <alignment horizontal="right"/>
      <protection/>
    </xf>
    <xf numFmtId="0" fontId="54" fillId="0" borderId="31" xfId="192" applyFont="1" applyFill="1" applyBorder="1" applyAlignment="1">
      <alignment horizontal="center"/>
      <protection/>
    </xf>
    <xf numFmtId="3" fontId="54" fillId="0" borderId="31" xfId="192" applyNumberFormat="1" applyFont="1" applyFill="1" applyBorder="1">
      <alignment/>
      <protection/>
    </xf>
    <xf numFmtId="0" fontId="27" fillId="0" borderId="32" xfId="192" applyFont="1" applyFill="1" applyBorder="1" applyAlignment="1">
      <alignment horizontal="center"/>
      <protection/>
    </xf>
    <xf numFmtId="0" fontId="54" fillId="0" borderId="48" xfId="192" applyFont="1" applyFill="1" applyBorder="1" applyAlignment="1">
      <alignment horizontal="center"/>
      <protection/>
    </xf>
    <xf numFmtId="3" fontId="28" fillId="0" borderId="48" xfId="192" applyNumberFormat="1" applyFont="1" applyFill="1" applyBorder="1">
      <alignment/>
      <protection/>
    </xf>
    <xf numFmtId="0" fontId="27" fillId="0" borderId="33" xfId="192" applyFont="1" applyFill="1" applyBorder="1" applyAlignment="1">
      <alignment horizontal="center"/>
      <protection/>
    </xf>
    <xf numFmtId="0" fontId="54" fillId="0" borderId="34" xfId="192" applyFont="1" applyFill="1" applyBorder="1" applyAlignment="1">
      <alignment horizontal="center"/>
      <protection/>
    </xf>
    <xf numFmtId="3" fontId="27" fillId="0" borderId="34" xfId="192" applyNumberFormat="1" applyFont="1" applyFill="1" applyBorder="1">
      <alignment/>
      <protection/>
    </xf>
    <xf numFmtId="0" fontId="27" fillId="0" borderId="0" xfId="192" applyFont="1" applyBorder="1">
      <alignment/>
      <protection/>
    </xf>
    <xf numFmtId="0" fontId="27" fillId="0" borderId="0" xfId="192" applyFont="1" applyBorder="1" applyAlignment="1">
      <alignment horizontal="center"/>
      <protection/>
    </xf>
    <xf numFmtId="3" fontId="27" fillId="0" borderId="0" xfId="192" applyNumberFormat="1" applyFont="1" quotePrefix="1">
      <alignment/>
      <protection/>
    </xf>
    <xf numFmtId="0" fontId="0" fillId="0" borderId="62" xfId="0" applyFont="1" applyFill="1" applyBorder="1" applyAlignment="1">
      <alignment horizontal="center" vertical="center" wrapText="1"/>
    </xf>
    <xf numFmtId="3" fontId="29" fillId="0" borderId="42" xfId="123" applyNumberFormat="1" applyFont="1" applyFill="1" applyBorder="1" applyAlignment="1">
      <alignment horizontal="right" vertical="center" indent="1"/>
      <protection/>
    </xf>
    <xf numFmtId="3" fontId="27" fillId="0" borderId="54" xfId="123" applyNumberFormat="1" applyFont="1" applyFill="1" applyBorder="1" applyAlignment="1">
      <alignment horizontal="right" vertical="center" indent="1"/>
      <protection/>
    </xf>
    <xf numFmtId="3" fontId="27" fillId="0" borderId="43" xfId="123" applyNumberFormat="1" applyFont="1" applyFill="1" applyBorder="1" applyAlignment="1">
      <alignment horizontal="right" vertical="center" indent="1"/>
      <protection/>
    </xf>
    <xf numFmtId="0" fontId="26" fillId="0" borderId="0" xfId="0" applyFont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3" fontId="0" fillId="0" borderId="36" xfId="0" applyNumberFormat="1" applyFont="1" applyFill="1" applyBorder="1" applyAlignment="1" quotePrefix="1">
      <alignment vertical="center"/>
    </xf>
    <xf numFmtId="165" fontId="0" fillId="0" borderId="31" xfId="0" applyNumberFormat="1" applyFont="1" applyBorder="1" applyAlignment="1" quotePrefix="1">
      <alignment vertical="center"/>
    </xf>
    <xf numFmtId="165" fontId="0" fillId="0" borderId="34" xfId="0" applyNumberFormat="1" applyFont="1" applyBorder="1" applyAlignment="1" quotePrefix="1">
      <alignment vertical="center"/>
    </xf>
    <xf numFmtId="165" fontId="0" fillId="0" borderId="36" xfId="0" applyNumberFormat="1" applyFont="1" applyBorder="1" applyAlignment="1" quotePrefix="1">
      <alignment vertical="center"/>
    </xf>
    <xf numFmtId="3" fontId="0" fillId="0" borderId="61" xfId="0" applyNumberFormat="1" applyFont="1" applyBorder="1" applyAlignment="1" quotePrefix="1">
      <alignment vertical="center"/>
    </xf>
    <xf numFmtId="3" fontId="26" fillId="0" borderId="63" xfId="0" applyNumberFormat="1" applyFont="1" applyBorder="1" applyAlignment="1">
      <alignment vertical="center"/>
    </xf>
    <xf numFmtId="0" fontId="0" fillId="0" borderId="64" xfId="0" applyFont="1" applyBorder="1" applyAlignment="1">
      <alignment horizontal="center" vertical="center" wrapText="1"/>
    </xf>
    <xf numFmtId="165" fontId="0" fillId="0" borderId="65" xfId="0" applyNumberFormat="1" applyFont="1" applyBorder="1" applyAlignment="1" quotePrefix="1">
      <alignment vertical="center"/>
    </xf>
    <xf numFmtId="165" fontId="0" fillId="0" borderId="0" xfId="0" applyNumberFormat="1" applyFont="1" applyBorder="1" applyAlignment="1" quotePrefix="1">
      <alignment vertical="center"/>
    </xf>
    <xf numFmtId="165" fontId="0" fillId="0" borderId="19" xfId="0" applyNumberFormat="1" applyFont="1" applyBorder="1" applyAlignment="1" quotePrefix="1">
      <alignment vertical="center"/>
    </xf>
    <xf numFmtId="3" fontId="0" fillId="0" borderId="0" xfId="0" applyNumberFormat="1" applyFont="1" applyBorder="1" applyAlignment="1" quotePrefix="1">
      <alignment vertical="center"/>
    </xf>
    <xf numFmtId="3" fontId="0" fillId="0" borderId="41" xfId="0" applyNumberFormat="1" applyFont="1" applyBorder="1" applyAlignment="1" quotePrefix="1">
      <alignment vertical="center"/>
    </xf>
    <xf numFmtId="3" fontId="0" fillId="0" borderId="43" xfId="0" applyNumberFormat="1" applyFont="1" applyBorder="1" applyAlignment="1" quotePrefix="1">
      <alignment vertical="center"/>
    </xf>
    <xf numFmtId="0" fontId="0" fillId="0" borderId="0" xfId="0" applyFont="1" applyFill="1" applyAlignment="1">
      <alignment vertical="center"/>
    </xf>
    <xf numFmtId="0" fontId="0" fillId="0" borderId="50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49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6" fillId="0" borderId="0" xfId="126" applyFont="1" applyFill="1">
      <alignment/>
      <protection/>
    </xf>
    <xf numFmtId="0" fontId="34" fillId="0" borderId="0" xfId="126" applyFont="1" applyFill="1">
      <alignment/>
      <protection/>
    </xf>
    <xf numFmtId="0" fontId="26" fillId="0" borderId="66" xfId="121" applyFont="1" applyFill="1" applyBorder="1" applyAlignment="1">
      <alignment horizontal="center" vertical="center" wrapText="1"/>
      <protection/>
    </xf>
    <xf numFmtId="0" fontId="26" fillId="0" borderId="67" xfId="126" applyFont="1" applyFill="1" applyBorder="1" applyAlignment="1">
      <alignment horizontal="center" vertical="center" wrapText="1"/>
      <protection/>
    </xf>
    <xf numFmtId="0" fontId="26" fillId="0" borderId="68" xfId="126" applyFont="1" applyFill="1" applyBorder="1" applyAlignment="1">
      <alignment horizontal="center" vertical="center" wrapText="1"/>
      <protection/>
    </xf>
    <xf numFmtId="0" fontId="26" fillId="0" borderId="66" xfId="126" applyFont="1" applyFill="1" applyBorder="1" applyAlignment="1">
      <alignment horizontal="center" vertical="center" wrapText="1"/>
      <protection/>
    </xf>
    <xf numFmtId="3" fontId="26" fillId="0" borderId="51" xfId="126" applyNumberFormat="1" applyFont="1" applyFill="1" applyBorder="1" applyAlignment="1">
      <alignment vertical="center"/>
      <protection/>
    </xf>
    <xf numFmtId="3" fontId="26" fillId="0" borderId="69" xfId="126" applyNumberFormat="1" applyFont="1" applyFill="1" applyBorder="1" applyAlignment="1">
      <alignment vertical="center"/>
      <protection/>
    </xf>
    <xf numFmtId="3" fontId="26" fillId="0" borderId="52" xfId="126" applyNumberFormat="1" applyFont="1" applyFill="1" applyBorder="1" applyAlignment="1">
      <alignment vertical="center"/>
      <protection/>
    </xf>
    <xf numFmtId="3" fontId="26" fillId="0" borderId="70" xfId="126" applyNumberFormat="1" applyFont="1" applyFill="1" applyBorder="1" applyAlignment="1">
      <alignment vertical="center"/>
      <protection/>
    </xf>
    <xf numFmtId="3" fontId="26" fillId="0" borderId="71" xfId="126" applyNumberFormat="1" applyFont="1" applyFill="1" applyBorder="1" applyAlignment="1">
      <alignment vertical="center"/>
      <protection/>
    </xf>
    <xf numFmtId="3" fontId="0" fillId="0" borderId="72" xfId="126" applyNumberFormat="1" applyFont="1" applyFill="1" applyBorder="1" applyAlignment="1">
      <alignment vertical="center"/>
      <protection/>
    </xf>
    <xf numFmtId="3" fontId="26" fillId="0" borderId="73" xfId="126" applyNumberFormat="1" applyFont="1" applyFill="1" applyBorder="1" applyAlignment="1">
      <alignment vertical="center"/>
      <protection/>
    </xf>
    <xf numFmtId="3" fontId="26" fillId="0" borderId="53" xfId="126" applyNumberFormat="1" applyFont="1" applyFill="1" applyBorder="1" applyAlignment="1">
      <alignment vertical="center"/>
      <protection/>
    </xf>
    <xf numFmtId="3" fontId="26" fillId="0" borderId="74" xfId="126" applyNumberFormat="1" applyFont="1" applyFill="1" applyBorder="1" applyAlignment="1">
      <alignment vertical="center"/>
      <protection/>
    </xf>
    <xf numFmtId="0" fontId="0" fillId="0" borderId="32" xfId="124" applyFont="1" applyFill="1" applyBorder="1" applyAlignment="1">
      <alignment vertical="center" wrapText="1"/>
      <protection/>
    </xf>
    <xf numFmtId="3" fontId="0" fillId="0" borderId="0" xfId="0" applyNumberForma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0" xfId="125" applyFont="1" applyFill="1" applyAlignment="1">
      <alignment vertical="center"/>
      <protection/>
    </xf>
    <xf numFmtId="0" fontId="0" fillId="0" borderId="0" xfId="125" applyFont="1" applyFill="1" applyAlignment="1">
      <alignment vertical="center"/>
      <protection/>
    </xf>
    <xf numFmtId="3" fontId="0" fillId="0" borderId="0" xfId="125" applyNumberFormat="1" applyFont="1" applyFill="1" applyAlignment="1">
      <alignment vertical="center"/>
      <protection/>
    </xf>
    <xf numFmtId="0" fontId="35" fillId="0" borderId="0" xfId="0" applyFont="1" applyFill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0" fillId="0" borderId="0" xfId="0" applyNumberFormat="1"/>
    <xf numFmtId="3" fontId="0" fillId="0" borderId="62" xfId="0" applyNumberFormat="1" applyFont="1" applyBorder="1" applyAlignment="1" quotePrefix="1">
      <alignment vertical="center"/>
    </xf>
    <xf numFmtId="0" fontId="30" fillId="0" borderId="0" xfId="192" applyFont="1">
      <alignment/>
      <protection/>
    </xf>
    <xf numFmtId="0" fontId="0" fillId="0" borderId="75" xfId="126" applyFont="1" applyFill="1" applyBorder="1" applyAlignment="1">
      <alignment vertical="center"/>
      <protection/>
    </xf>
    <xf numFmtId="3" fontId="0" fillId="0" borderId="76" xfId="126" applyNumberFormat="1" applyFont="1" applyFill="1" applyBorder="1" applyAlignment="1">
      <alignment vertical="center"/>
      <protection/>
    </xf>
    <xf numFmtId="3" fontId="0" fillId="0" borderId="75" xfId="126" applyNumberFormat="1" applyFont="1" applyFill="1" applyBorder="1" applyAlignment="1">
      <alignment vertical="center"/>
      <protection/>
    </xf>
    <xf numFmtId="0" fontId="0" fillId="0" borderId="75" xfId="126" applyFont="1" applyFill="1" applyBorder="1" applyAlignment="1">
      <alignment vertical="center" wrapText="1"/>
      <protection/>
    </xf>
    <xf numFmtId="0" fontId="0" fillId="0" borderId="77" xfId="126" applyFont="1" applyFill="1" applyBorder="1" applyAlignment="1">
      <alignment vertical="center" wrapText="1"/>
      <protection/>
    </xf>
    <xf numFmtId="0" fontId="0" fillId="0" borderId="32" xfId="0" applyFont="1" applyBorder="1" applyAlignment="1">
      <alignment vertical="center" wrapText="1"/>
    </xf>
    <xf numFmtId="3" fontId="29" fillId="0" borderId="42" xfId="123" applyNumberFormat="1" applyFont="1" applyFill="1" applyBorder="1" applyAlignment="1">
      <alignment vertical="center"/>
      <protection/>
    </xf>
    <xf numFmtId="3" fontId="29" fillId="0" borderId="42" xfId="123" applyNumberFormat="1" applyFont="1" applyFill="1" applyBorder="1" applyAlignment="1">
      <alignment horizontal="right" vertical="center" indent="1"/>
      <protection/>
    </xf>
    <xf numFmtId="3" fontId="29" fillId="0" borderId="18" xfId="123" applyNumberFormat="1" applyFont="1" applyFill="1" applyBorder="1" applyAlignment="1">
      <alignment horizontal="right" vertical="center" indent="1"/>
      <protection/>
    </xf>
    <xf numFmtId="0" fontId="27" fillId="0" borderId="18" xfId="123" applyFill="1" applyBorder="1">
      <alignment/>
      <protection/>
    </xf>
    <xf numFmtId="0" fontId="27" fillId="0" borderId="18" xfId="123" applyBorder="1">
      <alignment/>
      <protection/>
    </xf>
    <xf numFmtId="0" fontId="27" fillId="0" borderId="78" xfId="123" applyBorder="1">
      <alignment/>
      <protection/>
    </xf>
    <xf numFmtId="0" fontId="38" fillId="0" borderId="31" xfId="123" applyFont="1" applyFill="1" applyBorder="1">
      <alignment/>
      <protection/>
    </xf>
    <xf numFmtId="0" fontId="38" fillId="0" borderId="39" xfId="123" applyFont="1" applyBorder="1">
      <alignment/>
      <protection/>
    </xf>
    <xf numFmtId="0" fontId="0" fillId="0" borderId="62" xfId="0" applyFont="1" applyBorder="1" applyAlignment="1">
      <alignment horizontal="center" vertical="center" wrapText="1"/>
    </xf>
    <xf numFmtId="169" fontId="27" fillId="0" borderId="18" xfId="123" applyNumberFormat="1" applyFill="1" applyBorder="1">
      <alignment/>
      <protection/>
    </xf>
    <xf numFmtId="169" fontId="27" fillId="0" borderId="78" xfId="123" applyNumberFormat="1" applyBorder="1">
      <alignment/>
      <protection/>
    </xf>
    <xf numFmtId="169" fontId="27" fillId="0" borderId="36" xfId="123" applyNumberFormat="1" applyFill="1" applyBorder="1">
      <alignment/>
      <protection/>
    </xf>
    <xf numFmtId="169" fontId="27" fillId="0" borderId="40" xfId="123" applyNumberFormat="1" applyBorder="1">
      <alignment/>
      <protection/>
    </xf>
    <xf numFmtId="169" fontId="27" fillId="0" borderId="38" xfId="123" applyNumberFormat="1" applyFill="1" applyBorder="1">
      <alignment/>
      <protection/>
    </xf>
    <xf numFmtId="169" fontId="27" fillId="0" borderId="46" xfId="123" applyNumberFormat="1" applyBorder="1">
      <alignment/>
      <protection/>
    </xf>
    <xf numFmtId="3" fontId="54" fillId="0" borderId="18" xfId="192" applyNumberFormat="1" applyFont="1" applyFill="1" applyBorder="1">
      <alignment/>
      <protection/>
    </xf>
    <xf numFmtId="3" fontId="27" fillId="0" borderId="18" xfId="192" applyNumberFormat="1" applyFont="1" applyFill="1" applyBorder="1">
      <alignment/>
      <protection/>
    </xf>
    <xf numFmtId="3" fontId="55" fillId="0" borderId="55" xfId="192" applyNumberFormat="1" applyFont="1" applyFill="1" applyBorder="1">
      <alignment/>
      <protection/>
    </xf>
    <xf numFmtId="3" fontId="27" fillId="0" borderId="55" xfId="192" applyNumberFormat="1" applyFont="1" applyFill="1" applyBorder="1">
      <alignment/>
      <protection/>
    </xf>
    <xf numFmtId="0" fontId="0" fillId="0" borderId="18" xfId="0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3" fontId="53" fillId="0" borderId="18" xfId="192" applyNumberFormat="1" applyFont="1" applyFill="1" applyBorder="1">
      <alignment/>
      <protection/>
    </xf>
    <xf numFmtId="0" fontId="27" fillId="0" borderId="18" xfId="192" applyFont="1" applyFill="1" applyBorder="1">
      <alignment/>
      <protection/>
    </xf>
    <xf numFmtId="3" fontId="0" fillId="0" borderId="42" xfId="124" applyNumberFormat="1" applyFill="1" applyBorder="1" applyAlignment="1">
      <alignment vertical="center" wrapText="1"/>
      <protection/>
    </xf>
    <xf numFmtId="3" fontId="0" fillId="0" borderId="42" xfId="124" applyNumberFormat="1" applyFont="1" applyFill="1" applyBorder="1" applyAlignment="1">
      <alignment vertical="center" wrapText="1"/>
      <protection/>
    </xf>
    <xf numFmtId="3" fontId="0" fillId="0" borderId="18" xfId="0" applyNumberFormat="1" applyFont="1" applyFill="1" applyBorder="1" applyAlignment="1">
      <alignment vertical="center"/>
    </xf>
    <xf numFmtId="3" fontId="0" fillId="0" borderId="18" xfId="0" applyNumberFormat="1" applyBorder="1"/>
    <xf numFmtId="3" fontId="26" fillId="0" borderId="79" xfId="0" applyNumberFormat="1" applyFont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52" fillId="0" borderId="62" xfId="192" applyNumberFormat="1" applyFont="1" applyFill="1" applyBorder="1">
      <alignment/>
      <protection/>
    </xf>
    <xf numFmtId="3" fontId="53" fillId="0" borderId="80" xfId="192" applyNumberFormat="1" applyFont="1" applyFill="1" applyBorder="1">
      <alignment/>
      <protection/>
    </xf>
    <xf numFmtId="3" fontId="54" fillId="0" borderId="39" xfId="192" applyNumberFormat="1" applyFont="1" applyFill="1" applyBorder="1">
      <alignment/>
      <protection/>
    </xf>
    <xf numFmtId="0" fontId="27" fillId="0" borderId="18" xfId="192" applyFont="1" applyFill="1" applyBorder="1" applyAlignment="1">
      <alignment horizontal="center"/>
      <protection/>
    </xf>
    <xf numFmtId="3" fontId="53" fillId="0" borderId="78" xfId="192" applyNumberFormat="1" applyFont="1" applyFill="1" applyBorder="1">
      <alignment/>
      <protection/>
    </xf>
    <xf numFmtId="0" fontId="54" fillId="0" borderId="18" xfId="192" applyFont="1" applyFill="1" applyBorder="1" applyAlignment="1">
      <alignment horizontal="right"/>
      <protection/>
    </xf>
    <xf numFmtId="0" fontId="54" fillId="0" borderId="18" xfId="192" applyFont="1" applyFill="1" applyBorder="1" applyAlignment="1">
      <alignment horizontal="center"/>
      <protection/>
    </xf>
    <xf numFmtId="3" fontId="54" fillId="0" borderId="78" xfId="192" applyNumberFormat="1" applyFont="1" applyFill="1" applyBorder="1">
      <alignment/>
      <protection/>
    </xf>
    <xf numFmtId="3" fontId="27" fillId="0" borderId="78" xfId="192" applyNumberFormat="1" applyFont="1" applyFill="1" applyBorder="1">
      <alignment/>
      <protection/>
    </xf>
    <xf numFmtId="3" fontId="53" fillId="0" borderId="81" xfId="192" applyNumberFormat="1" applyFont="1" applyFill="1" applyBorder="1">
      <alignment/>
      <protection/>
    </xf>
    <xf numFmtId="0" fontId="27" fillId="0" borderId="82" xfId="192" applyFont="1" applyFill="1" applyBorder="1" applyAlignment="1">
      <alignment horizontal="center"/>
      <protection/>
    </xf>
    <xf numFmtId="0" fontId="54" fillId="0" borderId="55" xfId="192" applyFont="1" applyFill="1" applyBorder="1" applyAlignment="1">
      <alignment horizontal="right"/>
      <protection/>
    </xf>
    <xf numFmtId="0" fontId="54" fillId="0" borderId="55" xfId="192" applyFont="1" applyFill="1" applyBorder="1" applyAlignment="1">
      <alignment horizontal="center"/>
      <protection/>
    </xf>
    <xf numFmtId="3" fontId="55" fillId="0" borderId="83" xfId="192" applyNumberFormat="1" applyFont="1" applyFill="1" applyBorder="1">
      <alignment/>
      <protection/>
    </xf>
    <xf numFmtId="0" fontId="27" fillId="0" borderId="55" xfId="192" applyFont="1" applyFill="1" applyBorder="1">
      <alignment/>
      <protection/>
    </xf>
    <xf numFmtId="3" fontId="27" fillId="0" borderId="83" xfId="192" applyNumberFormat="1" applyFont="1" applyFill="1" applyBorder="1">
      <alignment/>
      <protection/>
    </xf>
    <xf numFmtId="3" fontId="28" fillId="0" borderId="62" xfId="192" applyNumberFormat="1" applyFont="1" applyFill="1" applyBorder="1">
      <alignment/>
      <protection/>
    </xf>
    <xf numFmtId="3" fontId="27" fillId="7" borderId="55" xfId="192" applyNumberFormat="1" applyFont="1" applyFill="1" applyBorder="1">
      <alignment/>
      <protection/>
    </xf>
    <xf numFmtId="3" fontId="0" fillId="0" borderId="18" xfId="124" applyNumberFormat="1" applyFill="1" applyBorder="1" applyAlignment="1">
      <alignment vertical="center"/>
      <protection/>
    </xf>
    <xf numFmtId="3" fontId="0" fillId="0" borderId="84" xfId="124" applyNumberFormat="1" applyFill="1" applyBorder="1" applyAlignment="1">
      <alignment vertical="center"/>
      <protection/>
    </xf>
    <xf numFmtId="0" fontId="0" fillId="0" borderId="0" xfId="0" applyFill="1" applyAlignment="1">
      <alignment horizontal="right" vertical="center"/>
    </xf>
    <xf numFmtId="3" fontId="0" fillId="0" borderId="78" xfId="124" applyNumberFormat="1" applyFill="1" applyBorder="1" applyAlignment="1">
      <alignment vertical="center"/>
      <protection/>
    </xf>
    <xf numFmtId="3" fontId="0" fillId="0" borderId="83" xfId="124" applyNumberFormat="1" applyFill="1" applyBorder="1" applyAlignment="1">
      <alignment vertical="center"/>
      <protection/>
    </xf>
    <xf numFmtId="0" fontId="37" fillId="0" borderId="0" xfId="0" applyFont="1" applyFill="1" applyAlignment="1">
      <alignment vertical="center" wrapText="1"/>
    </xf>
    <xf numFmtId="0" fontId="0" fillId="0" borderId="0" xfId="126" applyFont="1" applyFill="1" applyAlignment="1">
      <alignment horizontal="right"/>
      <protection/>
    </xf>
    <xf numFmtId="3" fontId="57" fillId="0" borderId="31" xfId="0" applyNumberFormat="1" applyFont="1" applyBorder="1" applyAlignment="1" quotePrefix="1">
      <alignment vertical="center"/>
    </xf>
    <xf numFmtId="0" fontId="26" fillId="0" borderId="0" xfId="0" applyFont="1" applyFill="1" applyAlignment="1">
      <alignment vertical="center"/>
    </xf>
    <xf numFmtId="0" fontId="0" fillId="0" borderId="47" xfId="120" applyFont="1" applyFill="1" applyBorder="1" applyAlignment="1">
      <alignment horizontal="center" vertical="center"/>
      <protection/>
    </xf>
    <xf numFmtId="0" fontId="0" fillId="0" borderId="47" xfId="0" applyFont="1" applyFill="1" applyBorder="1" applyAlignment="1">
      <alignment horizontal="center" vertical="center"/>
    </xf>
    <xf numFmtId="0" fontId="26" fillId="0" borderId="75" xfId="126" applyFont="1" applyFill="1" applyBorder="1" applyAlignment="1">
      <alignment vertical="center"/>
      <protection/>
    </xf>
    <xf numFmtId="3" fontId="26" fillId="0" borderId="75" xfId="126" applyNumberFormat="1" applyFont="1" applyFill="1" applyBorder="1" applyAlignment="1">
      <alignment vertical="center"/>
      <protection/>
    </xf>
    <xf numFmtId="3" fontId="26" fillId="0" borderId="76" xfId="126" applyNumberFormat="1" applyFont="1" applyFill="1" applyBorder="1" applyAlignment="1">
      <alignment vertical="center"/>
      <protection/>
    </xf>
    <xf numFmtId="0" fontId="0" fillId="0" borderId="0" xfId="0" applyFont="1" applyFill="1" applyBorder="1" applyAlignment="1">
      <alignment horizontal="left" vertical="center" wrapText="1"/>
    </xf>
    <xf numFmtId="164" fontId="0" fillId="0" borderId="42" xfId="124" applyNumberFormat="1" applyFill="1" applyBorder="1" applyAlignment="1">
      <alignment vertical="center" wrapText="1"/>
      <protection/>
    </xf>
    <xf numFmtId="3" fontId="26" fillId="0" borderId="46" xfId="0" applyNumberFormat="1" applyFont="1" applyBorder="1" applyAlignment="1" quotePrefix="1">
      <alignment vertical="center"/>
    </xf>
    <xf numFmtId="3" fontId="26" fillId="0" borderId="85" xfId="0" applyNumberFormat="1" applyFont="1" applyBorder="1" applyAlignment="1">
      <alignment vertical="center"/>
    </xf>
    <xf numFmtId="3" fontId="0" fillId="0" borderId="42" xfId="0" applyNumberFormat="1" applyFont="1" applyBorder="1" applyAlignment="1" quotePrefix="1">
      <alignment vertical="center"/>
    </xf>
    <xf numFmtId="3" fontId="0" fillId="0" borderId="34" xfId="0" applyNumberFormat="1" applyFont="1" applyFill="1" applyBorder="1" applyAlignment="1" quotePrefix="1">
      <alignment vertical="center"/>
    </xf>
    <xf numFmtId="0" fontId="29" fillId="0" borderId="42" xfId="123" applyFont="1" applyFill="1" applyBorder="1" applyAlignment="1">
      <alignment vertical="center"/>
      <protection/>
    </xf>
    <xf numFmtId="3" fontId="27" fillId="0" borderId="55" xfId="123" applyNumberFormat="1" applyFont="1" applyFill="1" applyBorder="1" applyAlignment="1">
      <alignment horizontal="right" vertical="center" indent="1"/>
      <protection/>
    </xf>
    <xf numFmtId="3" fontId="0" fillId="0" borderId="55" xfId="124" applyNumberFormat="1" applyFill="1" applyBorder="1" applyAlignment="1">
      <alignment vertical="center"/>
      <protection/>
    </xf>
    <xf numFmtId="1" fontId="27" fillId="0" borderId="57" xfId="192" applyNumberFormat="1" applyFont="1" applyFill="1" applyBorder="1" applyAlignment="1">
      <alignment horizontal="center" vertical="center" wrapText="1"/>
      <protection/>
    </xf>
    <xf numFmtId="1" fontId="27" fillId="0" borderId="38" xfId="192" applyNumberFormat="1" applyFont="1" applyFill="1" applyBorder="1" applyAlignment="1">
      <alignment horizontal="center"/>
      <protection/>
    </xf>
    <xf numFmtId="3" fontId="27" fillId="0" borderId="0" xfId="192" applyNumberFormat="1" applyFont="1" applyFill="1" quotePrefix="1">
      <alignment/>
      <protection/>
    </xf>
    <xf numFmtId="0" fontId="27" fillId="0" borderId="0" xfId="192" applyFont="1" applyFill="1">
      <alignment/>
      <protection/>
    </xf>
    <xf numFmtId="3" fontId="0" fillId="92" borderId="31" xfId="0" applyNumberFormat="1" applyFont="1" applyFill="1" applyBorder="1" applyAlignment="1" quotePrefix="1">
      <alignment vertical="center"/>
    </xf>
    <xf numFmtId="3" fontId="26" fillId="0" borderId="86" xfId="0" applyNumberFormat="1" applyFont="1" applyBorder="1" applyAlignment="1">
      <alignment vertical="center"/>
    </xf>
    <xf numFmtId="0" fontId="77" fillId="0" borderId="0" xfId="0" applyFont="1" applyAlignment="1">
      <alignment wrapText="1"/>
    </xf>
    <xf numFmtId="0" fontId="78" fillId="0" borderId="0" xfId="0" applyFont="1"/>
    <xf numFmtId="3" fontId="78" fillId="0" borderId="0" xfId="0" applyNumberFormat="1" applyFont="1"/>
    <xf numFmtId="3" fontId="55" fillId="0" borderId="18" xfId="192" applyNumberFormat="1" applyFont="1" applyFill="1" applyBorder="1">
      <alignment/>
      <protection/>
    </xf>
    <xf numFmtId="3" fontId="80" fillId="0" borderId="18" xfId="192" applyNumberFormat="1" applyFont="1" applyFill="1" applyBorder="1">
      <alignment/>
      <protection/>
    </xf>
    <xf numFmtId="3" fontId="29" fillId="0" borderId="18" xfId="192" applyNumberFormat="1" applyFont="1" applyFill="1" applyBorder="1">
      <alignment/>
      <protection/>
    </xf>
    <xf numFmtId="3" fontId="29" fillId="0" borderId="78" xfId="192" applyNumberFormat="1" applyFont="1" applyFill="1" applyBorder="1">
      <alignment/>
      <protection/>
    </xf>
    <xf numFmtId="3" fontId="29" fillId="0" borderId="34" xfId="192" applyNumberFormat="1" applyFont="1" applyFill="1" applyBorder="1">
      <alignment/>
      <protection/>
    </xf>
    <xf numFmtId="3" fontId="29" fillId="0" borderId="45" xfId="192" applyNumberFormat="1" applyFont="1" applyFill="1" applyBorder="1">
      <alignment/>
      <protection/>
    </xf>
    <xf numFmtId="3" fontId="0" fillId="0" borderId="87" xfId="0" applyNumberFormat="1" applyFont="1" applyBorder="1" applyAlignment="1" quotePrefix="1">
      <alignment vertical="center"/>
    </xf>
    <xf numFmtId="0" fontId="26" fillId="0" borderId="0" xfId="126" applyFont="1" applyFill="1" applyBorder="1" applyAlignment="1">
      <alignment vertical="center"/>
      <protection/>
    </xf>
    <xf numFmtId="3" fontId="26" fillId="0" borderId="0" xfId="126" applyNumberFormat="1" applyFont="1" applyFill="1" applyBorder="1" applyAlignment="1">
      <alignment vertical="center"/>
      <protection/>
    </xf>
    <xf numFmtId="0" fontId="81" fillId="0" borderId="0" xfId="0" applyFont="1"/>
    <xf numFmtId="0" fontId="81" fillId="0" borderId="0" xfId="0" applyFont="1" applyAlignment="1">
      <alignment wrapText="1"/>
    </xf>
    <xf numFmtId="0" fontId="28" fillId="0" borderId="0" xfId="236" applyFont="1" applyFill="1">
      <alignment/>
      <protection/>
    </xf>
    <xf numFmtId="0" fontId="28" fillId="0" borderId="88" xfId="236" applyFont="1" applyFill="1" applyBorder="1" applyAlignment="1">
      <alignment horizontal="center"/>
      <protection/>
    </xf>
    <xf numFmtId="0" fontId="28" fillId="0" borderId="89" xfId="236" applyFont="1" applyFill="1" applyBorder="1" applyAlignment="1">
      <alignment horizontal="center"/>
      <protection/>
    </xf>
    <xf numFmtId="0" fontId="28" fillId="0" borderId="90" xfId="236" applyFont="1" applyFill="1" applyBorder="1" applyAlignment="1">
      <alignment horizontal="center" vertical="center" wrapText="1"/>
      <protection/>
    </xf>
    <xf numFmtId="0" fontId="28" fillId="0" borderId="90" xfId="236" applyFont="1" applyFill="1" applyBorder="1" applyAlignment="1">
      <alignment horizontal="center" wrapText="1"/>
      <protection/>
    </xf>
    <xf numFmtId="0" fontId="28" fillId="0" borderId="33" xfId="236" applyFont="1" applyFill="1" applyBorder="1" applyAlignment="1">
      <alignment horizontal="center"/>
      <protection/>
    </xf>
    <xf numFmtId="0" fontId="28" fillId="0" borderId="50" xfId="236" applyFont="1" applyFill="1" applyBorder="1" applyAlignment="1">
      <alignment horizontal="center"/>
      <protection/>
    </xf>
    <xf numFmtId="0" fontId="28" fillId="0" borderId="91" xfId="236" applyFont="1" applyFill="1" applyBorder="1" applyAlignment="1">
      <alignment horizontal="center" wrapText="1"/>
      <protection/>
    </xf>
    <xf numFmtId="0" fontId="28" fillId="0" borderId="34" xfId="236" applyFont="1" applyFill="1" applyBorder="1" applyAlignment="1">
      <alignment horizontal="center" vertical="center" wrapText="1"/>
      <protection/>
    </xf>
    <xf numFmtId="0" fontId="28" fillId="0" borderId="34" xfId="239" applyFont="1" applyFill="1" applyBorder="1" applyAlignment="1">
      <alignment horizontal="center" wrapText="1"/>
      <protection/>
    </xf>
    <xf numFmtId="0" fontId="28" fillId="0" borderId="45" xfId="239" applyFont="1" applyFill="1" applyBorder="1" applyAlignment="1">
      <alignment horizontal="center" wrapText="1"/>
      <protection/>
    </xf>
    <xf numFmtId="0" fontId="28" fillId="0" borderId="50" xfId="236" applyFont="1" applyFill="1" applyBorder="1" applyAlignment="1">
      <alignment horizontal="center" vertical="center" wrapText="1"/>
      <protection/>
    </xf>
    <xf numFmtId="0" fontId="28" fillId="0" borderId="80" xfId="239" applyFont="1" applyFill="1" applyBorder="1" applyAlignment="1">
      <alignment horizontal="center" wrapText="1"/>
      <protection/>
    </xf>
    <xf numFmtId="3" fontId="86" fillId="0" borderId="32" xfId="236" applyNumberFormat="1" applyFont="1" applyFill="1" applyBorder="1" applyAlignment="1">
      <alignment vertical="center"/>
      <protection/>
    </xf>
    <xf numFmtId="3" fontId="86" fillId="0" borderId="18" xfId="236" applyNumberFormat="1" applyFont="1" applyFill="1" applyBorder="1" applyAlignment="1">
      <alignment vertical="center"/>
      <protection/>
    </xf>
    <xf numFmtId="4" fontId="86" fillId="0" borderId="18" xfId="236" applyNumberFormat="1" applyFont="1" applyFill="1" applyBorder="1" applyAlignment="1">
      <alignment vertical="center"/>
      <protection/>
    </xf>
    <xf numFmtId="3" fontId="86" fillId="0" borderId="78" xfId="236" applyNumberFormat="1" applyFont="1" applyFill="1" applyBorder="1" applyAlignment="1" applyProtection="1">
      <alignment vertical="center"/>
      <protection hidden="1"/>
    </xf>
    <xf numFmtId="49" fontId="86" fillId="0" borderId="75" xfId="236" applyNumberFormat="1" applyFont="1" applyFill="1" applyBorder="1" applyAlignment="1">
      <alignment horizontal="left" vertical="center" wrapText="1"/>
      <protection/>
    </xf>
    <xf numFmtId="49" fontId="86" fillId="0" borderId="77" xfId="236" applyNumberFormat="1" applyFont="1" applyFill="1" applyBorder="1" applyAlignment="1">
      <alignment horizontal="left" vertical="center" wrapText="1"/>
      <protection/>
    </xf>
    <xf numFmtId="49" fontId="86" fillId="0" borderId="72" xfId="236" applyNumberFormat="1" applyFont="1" applyFill="1" applyBorder="1" applyAlignment="1">
      <alignment horizontal="left" vertical="center" wrapText="1"/>
      <protection/>
    </xf>
    <xf numFmtId="3" fontId="86" fillId="0" borderId="83" xfId="236" applyNumberFormat="1" applyFont="1" applyFill="1" applyBorder="1" applyAlignment="1" applyProtection="1">
      <alignment vertical="center"/>
      <protection hidden="1"/>
    </xf>
    <xf numFmtId="49" fontId="86" fillId="0" borderId="92" xfId="236" applyNumberFormat="1" applyFont="1" applyFill="1" applyBorder="1" applyAlignment="1">
      <alignment vertical="center" wrapText="1"/>
      <protection/>
    </xf>
    <xf numFmtId="3" fontId="86" fillId="0" borderId="47" xfId="237" applyNumberFormat="1" applyFont="1" applyFill="1" applyBorder="1" applyAlignment="1" applyProtection="1">
      <alignment vertical="center"/>
      <protection hidden="1"/>
    </xf>
    <xf numFmtId="3" fontId="86" fillId="0" borderId="48" xfId="236" applyNumberFormat="1" applyFont="1" applyFill="1" applyBorder="1" applyAlignment="1">
      <alignment vertical="center"/>
      <protection/>
    </xf>
    <xf numFmtId="4" fontId="86" fillId="0" borderId="48" xfId="236" applyNumberFormat="1" applyFont="1" applyFill="1" applyBorder="1" applyAlignment="1">
      <alignment vertical="center"/>
      <protection/>
    </xf>
    <xf numFmtId="3" fontId="86" fillId="0" borderId="62" xfId="236" applyNumberFormat="1" applyFont="1" applyFill="1" applyBorder="1" applyAlignment="1" applyProtection="1">
      <alignment vertical="center"/>
      <protection hidden="1"/>
    </xf>
    <xf numFmtId="0" fontId="28" fillId="0" borderId="0" xfId="192" applyFont="1" applyFill="1" applyBorder="1" applyAlignment="1">
      <alignment horizontal="center"/>
      <protection/>
    </xf>
    <xf numFmtId="0" fontId="28" fillId="0" borderId="0" xfId="192" applyFont="1" applyFill="1" applyBorder="1">
      <alignment/>
      <protection/>
    </xf>
    <xf numFmtId="0" fontId="54" fillId="0" borderId="0" xfId="192" applyFont="1" applyFill="1" applyBorder="1" applyAlignment="1">
      <alignment horizontal="center"/>
      <protection/>
    </xf>
    <xf numFmtId="3" fontId="52" fillId="0" borderId="0" xfId="192" applyNumberFormat="1" applyFont="1" applyFill="1" applyBorder="1">
      <alignment/>
      <protection/>
    </xf>
    <xf numFmtId="169" fontId="28" fillId="0" borderId="0" xfId="192" applyNumberFormat="1" applyFont="1" applyFill="1" applyBorder="1">
      <alignment/>
      <protection/>
    </xf>
    <xf numFmtId="169" fontId="28" fillId="0" borderId="0" xfId="192" applyNumberFormat="1" applyFont="1" applyBorder="1">
      <alignment/>
      <protection/>
    </xf>
    <xf numFmtId="3" fontId="52" fillId="0" borderId="93" xfId="192" applyNumberFormat="1" applyFont="1" applyFill="1" applyBorder="1">
      <alignment/>
      <protection/>
    </xf>
    <xf numFmtId="0" fontId="0" fillId="0" borderId="4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1" xfId="0" applyFont="1" applyBorder="1" applyAlignment="1">
      <alignment vertical="center" wrapText="1"/>
    </xf>
    <xf numFmtId="3" fontId="0" fillId="0" borderId="44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123" applyFont="1" applyFill="1" applyAlignment="1">
      <alignment horizontal="center" vertical="center" wrapText="1"/>
      <protection/>
    </xf>
    <xf numFmtId="0" fontId="27" fillId="0" borderId="0" xfId="123" applyFill="1" applyAlignment="1">
      <alignment vertical="center" wrapText="1"/>
      <protection/>
    </xf>
    <xf numFmtId="0" fontId="0" fillId="0" borderId="0" xfId="0" applyFont="1" applyAlignment="1">
      <alignment horizontal="center" vertical="center"/>
    </xf>
    <xf numFmtId="0" fontId="0" fillId="0" borderId="94" xfId="0" applyFont="1" applyBorder="1" applyAlignment="1">
      <alignment vertical="center"/>
    </xf>
    <xf numFmtId="0" fontId="0" fillId="0" borderId="64" xfId="0" applyFont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65" fontId="26" fillId="0" borderId="85" xfId="0" applyNumberFormat="1" applyFont="1" applyBorder="1" applyAlignment="1" quotePrefix="1">
      <alignment vertical="center"/>
    </xf>
    <xf numFmtId="3" fontId="0" fillId="0" borderId="94" xfId="0" applyNumberFormat="1" applyFont="1" applyBorder="1" applyAlignment="1">
      <alignment horizontal="right" vertical="center"/>
    </xf>
    <xf numFmtId="169" fontId="0" fillId="0" borderId="65" xfId="0" applyNumberFormat="1" applyFont="1" applyBorder="1" applyAlignment="1" quotePrefix="1">
      <alignment vertical="center"/>
    </xf>
    <xf numFmtId="169" fontId="0" fillId="0" borderId="0" xfId="0" applyNumberFormat="1" applyFont="1" applyBorder="1" applyAlignment="1" quotePrefix="1">
      <alignment vertical="center"/>
    </xf>
    <xf numFmtId="169" fontId="0" fillId="0" borderId="19" xfId="0" applyNumberFormat="1" applyFont="1" applyBorder="1" applyAlignment="1" quotePrefix="1">
      <alignment vertical="center"/>
    </xf>
    <xf numFmtId="169" fontId="26" fillId="0" borderId="65" xfId="0" applyNumberFormat="1" applyFont="1" applyBorder="1" applyAlignment="1" quotePrefix="1">
      <alignment vertical="center"/>
    </xf>
    <xf numFmtId="1" fontId="27" fillId="0" borderId="95" xfId="192" applyNumberFormat="1" applyFont="1" applyFill="1" applyBorder="1" applyAlignment="1">
      <alignment horizontal="center"/>
      <protection/>
    </xf>
    <xf numFmtId="3" fontId="53" fillId="0" borderId="93" xfId="192" applyNumberFormat="1" applyFont="1" applyFill="1" applyBorder="1">
      <alignment/>
      <protection/>
    </xf>
    <xf numFmtId="1" fontId="27" fillId="0" borderId="96" xfId="192" applyNumberFormat="1" applyFont="1" applyFill="1" applyBorder="1" applyAlignment="1">
      <alignment horizontal="center" vertical="center" wrapText="1"/>
      <protection/>
    </xf>
    <xf numFmtId="169" fontId="28" fillId="0" borderId="47" xfId="192" applyNumberFormat="1" applyFont="1" applyFill="1" applyBorder="1">
      <alignment/>
      <protection/>
    </xf>
    <xf numFmtId="0" fontId="27" fillId="0" borderId="94" xfId="192" applyFont="1" applyBorder="1">
      <alignment/>
      <protection/>
    </xf>
    <xf numFmtId="0" fontId="27" fillId="0" borderId="97" xfId="192" applyFont="1" applyBorder="1">
      <alignment/>
      <protection/>
    </xf>
    <xf numFmtId="0" fontId="27" fillId="0" borderId="98" xfId="192" applyFont="1" applyBorder="1">
      <alignment/>
      <protection/>
    </xf>
    <xf numFmtId="169" fontId="28" fillId="0" borderId="48" xfId="192" applyNumberFormat="1" applyFont="1" applyBorder="1">
      <alignment/>
      <protection/>
    </xf>
    <xf numFmtId="169" fontId="27" fillId="0" borderId="90" xfId="192" applyNumberFormat="1" applyFont="1" applyBorder="1">
      <alignment/>
      <protection/>
    </xf>
    <xf numFmtId="169" fontId="27" fillId="0" borderId="18" xfId="192" applyNumberFormat="1" applyFont="1" applyBorder="1">
      <alignment/>
      <protection/>
    </xf>
    <xf numFmtId="169" fontId="28" fillId="0" borderId="38" xfId="192" applyNumberFormat="1" applyFont="1" applyBorder="1">
      <alignment/>
      <protection/>
    </xf>
    <xf numFmtId="49" fontId="27" fillId="0" borderId="99" xfId="192" applyNumberFormat="1" applyFont="1" applyBorder="1" applyAlignment="1">
      <alignment horizontal="center"/>
      <protection/>
    </xf>
    <xf numFmtId="169" fontId="29" fillId="0" borderId="18" xfId="192" applyNumberFormat="1" applyFont="1" applyBorder="1">
      <alignment/>
      <protection/>
    </xf>
    <xf numFmtId="169" fontId="29" fillId="0" borderId="38" xfId="192" applyNumberFormat="1" applyFont="1" applyBorder="1">
      <alignment/>
      <protection/>
    </xf>
    <xf numFmtId="169" fontId="27" fillId="0" borderId="38" xfId="192" applyNumberFormat="1" applyFont="1" applyBorder="1">
      <alignment/>
      <protection/>
    </xf>
    <xf numFmtId="169" fontId="27" fillId="0" borderId="48" xfId="192" applyNumberFormat="1" applyFont="1" applyBorder="1">
      <alignment/>
      <protection/>
    </xf>
    <xf numFmtId="0" fontId="27" fillId="0" borderId="78" xfId="192" applyFont="1" applyBorder="1">
      <alignment/>
      <protection/>
    </xf>
    <xf numFmtId="1" fontId="27" fillId="0" borderId="79" xfId="192" applyNumberFormat="1" applyFont="1" applyFill="1" applyBorder="1" applyAlignment="1">
      <alignment horizontal="center"/>
      <protection/>
    </xf>
    <xf numFmtId="3" fontId="55" fillId="0" borderId="78" xfId="192" applyNumberFormat="1" applyFont="1" applyFill="1" applyBorder="1">
      <alignment/>
      <protection/>
    </xf>
    <xf numFmtId="3" fontId="27" fillId="0" borderId="46" xfId="192" applyNumberFormat="1" applyFont="1" applyFill="1" applyBorder="1">
      <alignment/>
      <protection/>
    </xf>
    <xf numFmtId="0" fontId="0" fillId="0" borderId="0" xfId="126" applyFont="1" applyFill="1" applyAlignment="1">
      <alignment horizontal="right"/>
      <protection/>
    </xf>
    <xf numFmtId="0" fontId="32" fillId="0" borderId="0" xfId="126" applyFont="1" applyFill="1">
      <alignment/>
      <protection/>
    </xf>
    <xf numFmtId="0" fontId="0" fillId="0" borderId="0" xfId="126" applyFont="1" applyFill="1">
      <alignment/>
      <protection/>
    </xf>
    <xf numFmtId="0" fontId="74" fillId="0" borderId="0" xfId="126" applyFont="1" applyFill="1">
      <alignment/>
      <protection/>
    </xf>
    <xf numFmtId="0" fontId="30" fillId="0" borderId="0" xfId="0" applyFont="1" applyFill="1" applyAlignment="1">
      <alignment vertical="center"/>
    </xf>
    <xf numFmtId="0" fontId="82" fillId="0" borderId="0" xfId="235" applyFont="1" applyFill="1" applyAlignment="1">
      <alignment vertical="center"/>
      <protection/>
    </xf>
    <xf numFmtId="0" fontId="83" fillId="0" borderId="0" xfId="0" applyFont="1" applyFill="1" applyAlignment="1">
      <alignment vertical="center"/>
    </xf>
    <xf numFmtId="0" fontId="81" fillId="0" borderId="0" xfId="0" applyFont="1" applyFill="1" applyAlignment="1">
      <alignment vertical="center" wrapText="1"/>
    </xf>
    <xf numFmtId="0" fontId="27" fillId="0" borderId="32" xfId="123" applyNumberFormat="1" applyBorder="1" applyAlignment="1">
      <alignment horizontal="center" vertical="center"/>
      <protection/>
    </xf>
    <xf numFmtId="0" fontId="27" fillId="0" borderId="42" xfId="123" applyNumberFormat="1" applyFill="1" applyBorder="1" applyAlignment="1">
      <alignment vertical="center"/>
      <protection/>
    </xf>
    <xf numFmtId="0" fontId="27" fillId="0" borderId="42" xfId="123" applyNumberFormat="1" applyFont="1" applyFill="1" applyBorder="1" applyAlignment="1">
      <alignment vertical="center"/>
      <protection/>
    </xf>
    <xf numFmtId="0" fontId="27" fillId="0" borderId="42" xfId="123" applyNumberFormat="1" applyFont="1" applyFill="1" applyBorder="1" applyAlignment="1">
      <alignment horizontal="right" vertical="center" indent="1"/>
      <protection/>
    </xf>
    <xf numFmtId="0" fontId="27" fillId="0" borderId="18" xfId="123" applyNumberFormat="1" applyFill="1" applyBorder="1">
      <alignment/>
      <protection/>
    </xf>
    <xf numFmtId="0" fontId="27" fillId="0" borderId="78" xfId="123" applyNumberFormat="1" applyBorder="1">
      <alignment/>
      <protection/>
    </xf>
    <xf numFmtId="3" fontId="0" fillId="0" borderId="18" xfId="0" applyNumberFormat="1" applyFont="1" applyBorder="1" applyAlignment="1" quotePrefix="1">
      <alignment vertical="center"/>
    </xf>
    <xf numFmtId="3" fontId="0" fillId="0" borderId="0" xfId="124" applyNumberFormat="1" applyFill="1" applyBorder="1" applyAlignment="1">
      <alignment vertical="center"/>
      <protection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56" xfId="124" applyFill="1" applyBorder="1" applyAlignment="1">
      <alignment horizontal="center" vertical="center" wrapText="1"/>
      <protection/>
    </xf>
    <xf numFmtId="0" fontId="0" fillId="0" borderId="100" xfId="124" applyFont="1" applyFill="1" applyBorder="1" applyAlignment="1">
      <alignment horizontal="center" vertical="center" wrapText="1"/>
      <protection/>
    </xf>
    <xf numFmtId="0" fontId="0" fillId="0" borderId="57" xfId="124" applyFont="1" applyFill="1" applyBorder="1" applyAlignment="1">
      <alignment horizontal="center" vertical="center" wrapText="1"/>
      <protection/>
    </xf>
    <xf numFmtId="0" fontId="0" fillId="0" borderId="100" xfId="124" applyFont="1" applyFill="1" applyBorder="1" applyAlignment="1">
      <alignment horizontal="center" vertical="center" wrapText="1"/>
      <protection/>
    </xf>
    <xf numFmtId="1" fontId="0" fillId="0" borderId="57" xfId="124" applyNumberFormat="1" applyFont="1" applyFill="1" applyBorder="1" applyAlignment="1">
      <alignment horizontal="center" vertical="center"/>
      <protection/>
    </xf>
    <xf numFmtId="1" fontId="0" fillId="0" borderId="57" xfId="124" applyNumberFormat="1" applyFill="1" applyBorder="1" applyAlignment="1">
      <alignment horizontal="center" vertical="center"/>
      <protection/>
    </xf>
    <xf numFmtId="1" fontId="0" fillId="0" borderId="96" xfId="124" applyNumberFormat="1" applyFill="1" applyBorder="1" applyAlignment="1">
      <alignment horizontal="center" vertical="center"/>
      <protection/>
    </xf>
    <xf numFmtId="3" fontId="27" fillId="0" borderId="34" xfId="0" applyNumberFormat="1" applyFont="1" applyBorder="1"/>
    <xf numFmtId="3" fontId="27" fillId="0" borderId="0" xfId="0" applyNumberFormat="1" applyFont="1" applyFill="1" applyBorder="1"/>
    <xf numFmtId="3" fontId="27" fillId="0" borderId="18" xfId="0" applyNumberFormat="1" applyFont="1" applyBorder="1"/>
    <xf numFmtId="3" fontId="27" fillId="0" borderId="42" xfId="0" applyNumberFormat="1" applyFont="1" applyFill="1" applyBorder="1"/>
    <xf numFmtId="164" fontId="0" fillId="0" borderId="42" xfId="124" applyNumberFormat="1" applyFont="1" applyFill="1" applyBorder="1" applyAlignment="1">
      <alignment vertical="center" wrapText="1"/>
      <protection/>
    </xf>
    <xf numFmtId="3" fontId="0" fillId="0" borderId="18" xfId="124" applyNumberFormat="1" applyFont="1" applyFill="1" applyBorder="1" applyAlignment="1">
      <alignment vertical="center"/>
      <protection/>
    </xf>
    <xf numFmtId="3" fontId="27" fillId="0" borderId="18" xfId="0" applyNumberFormat="1" applyFont="1" applyFill="1" applyBorder="1"/>
    <xf numFmtId="0" fontId="0" fillId="0" borderId="32" xfId="124" applyBorder="1" applyAlignment="1">
      <alignment vertical="center" wrapText="1"/>
      <protection/>
    </xf>
    <xf numFmtId="164" fontId="0" fillId="0" borderId="42" xfId="124" applyNumberFormat="1" applyBorder="1" applyAlignment="1">
      <alignment vertical="center" wrapText="1"/>
      <protection/>
    </xf>
    <xf numFmtId="3" fontId="0" fillId="0" borderId="42" xfId="124" applyNumberFormat="1" applyBorder="1" applyAlignment="1">
      <alignment vertical="center" wrapText="1"/>
      <protection/>
    </xf>
    <xf numFmtId="3" fontId="0" fillId="0" borderId="18" xfId="124" applyNumberFormat="1" applyBorder="1" applyAlignment="1">
      <alignment vertical="center"/>
      <protection/>
    </xf>
    <xf numFmtId="3" fontId="0" fillId="0" borderId="78" xfId="124" applyNumberFormat="1" applyBorder="1" applyAlignment="1">
      <alignment vertical="center"/>
      <protection/>
    </xf>
    <xf numFmtId="0" fontId="0" fillId="0" borderId="32" xfId="124" applyFont="1" applyBorder="1" applyAlignment="1">
      <alignment vertical="center" wrapText="1"/>
      <protection/>
    </xf>
    <xf numFmtId="164" fontId="0" fillId="0" borderId="42" xfId="124" applyNumberFormat="1" applyFont="1" applyBorder="1" applyAlignment="1">
      <alignment vertical="center" wrapText="1"/>
      <protection/>
    </xf>
    <xf numFmtId="3" fontId="0" fillId="0" borderId="42" xfId="124" applyNumberFormat="1" applyFont="1" applyBorder="1" applyAlignment="1">
      <alignment vertical="center" wrapText="1"/>
      <protection/>
    </xf>
    <xf numFmtId="0" fontId="0" fillId="0" borderId="32" xfId="124" applyFont="1" applyBorder="1" applyAlignment="1">
      <alignment vertical="center" wrapText="1"/>
      <protection/>
    </xf>
    <xf numFmtId="3" fontId="0" fillId="0" borderId="42" xfId="124" applyNumberFormat="1" applyFont="1" applyBorder="1" applyAlignment="1">
      <alignment vertical="center" wrapText="1"/>
      <protection/>
    </xf>
    <xf numFmtId="3" fontId="27" fillId="0" borderId="18" xfId="0" applyNumberFormat="1" applyFont="1" applyBorder="1" applyAlignment="1">
      <alignment horizontal="right" vertical="center"/>
    </xf>
    <xf numFmtId="3" fontId="27" fillId="0" borderId="18" xfId="0" applyNumberFormat="1" applyFont="1" applyFill="1" applyBorder="1" applyAlignment="1">
      <alignment horizontal="right" vertical="center"/>
    </xf>
    <xf numFmtId="0" fontId="0" fillId="0" borderId="82" xfId="124" applyFont="1" applyBorder="1" applyAlignment="1">
      <alignment vertical="center" wrapText="1"/>
      <protection/>
    </xf>
    <xf numFmtId="164" fontId="0" fillId="0" borderId="54" xfId="124" applyNumberFormat="1" applyBorder="1" applyAlignment="1">
      <alignment vertical="center" wrapText="1"/>
      <protection/>
    </xf>
    <xf numFmtId="3" fontId="0" fillId="0" borderId="54" xfId="124" applyNumberFormat="1" applyBorder="1" applyAlignment="1">
      <alignment vertical="center" wrapText="1"/>
      <protection/>
    </xf>
    <xf numFmtId="3" fontId="27" fillId="0" borderId="18" xfId="0" applyNumberFormat="1" applyFont="1" applyBorder="1" applyAlignment="1">
      <alignment vertical="center"/>
    </xf>
    <xf numFmtId="3" fontId="27" fillId="0" borderId="55" xfId="0" applyNumberFormat="1" applyFont="1" applyFill="1" applyBorder="1" applyAlignment="1">
      <alignment vertical="center"/>
    </xf>
    <xf numFmtId="3" fontId="0" fillId="0" borderId="55" xfId="124" applyNumberFormat="1" applyBorder="1" applyAlignment="1">
      <alignment vertical="center"/>
      <protection/>
    </xf>
    <xf numFmtId="3" fontId="0" fillId="0" borderId="83" xfId="124" applyNumberFormat="1" applyBorder="1" applyAlignment="1">
      <alignment vertical="center"/>
      <protection/>
    </xf>
    <xf numFmtId="0" fontId="0" fillId="0" borderId="82" xfId="124" applyBorder="1" applyAlignment="1">
      <alignment vertical="center" wrapText="1"/>
      <protection/>
    </xf>
    <xf numFmtId="3" fontId="0" fillId="0" borderId="55" xfId="124" applyNumberFormat="1" applyFont="1" applyFill="1" applyBorder="1" applyAlignment="1">
      <alignment vertical="center"/>
      <protection/>
    </xf>
    <xf numFmtId="164" fontId="0" fillId="0" borderId="54" xfId="124" applyNumberFormat="1" applyFont="1" applyBorder="1" applyAlignment="1">
      <alignment vertical="center" wrapText="1"/>
      <protection/>
    </xf>
    <xf numFmtId="3" fontId="0" fillId="0" borderId="54" xfId="124" applyNumberFormat="1" applyFont="1" applyBorder="1" applyAlignment="1">
      <alignment vertical="center" wrapText="1"/>
      <protection/>
    </xf>
    <xf numFmtId="3" fontId="27" fillId="0" borderId="55" xfId="0" applyNumberFormat="1" applyFont="1" applyFill="1" applyBorder="1"/>
    <xf numFmtId="0" fontId="0" fillId="0" borderId="101" xfId="124" applyBorder="1" applyAlignment="1">
      <alignment vertical="center" wrapText="1"/>
      <protection/>
    </xf>
    <xf numFmtId="0" fontId="0" fillId="0" borderId="102" xfId="124" applyBorder="1" applyAlignment="1">
      <alignment vertical="center" wrapText="1"/>
      <protection/>
    </xf>
    <xf numFmtId="3" fontId="0" fillId="0" borderId="102" xfId="124" applyNumberFormat="1" applyBorder="1" applyAlignment="1">
      <alignment vertical="center" wrapText="1"/>
      <protection/>
    </xf>
    <xf numFmtId="3" fontId="0" fillId="0" borderId="84" xfId="124" applyNumberFormat="1" applyBorder="1" applyAlignment="1">
      <alignment vertical="center"/>
      <protection/>
    </xf>
    <xf numFmtId="3" fontId="0" fillId="0" borderId="103" xfId="124" applyNumberFormat="1" applyBorder="1" applyAlignment="1">
      <alignment vertical="center"/>
      <protection/>
    </xf>
    <xf numFmtId="0" fontId="0" fillId="0" borderId="0" xfId="125" applyFont="1" applyAlignment="1">
      <alignment vertical="center"/>
      <protection/>
    </xf>
    <xf numFmtId="3" fontId="0" fillId="0" borderId="0" xfId="125" applyNumberFormat="1" applyFont="1" applyAlignment="1">
      <alignment vertical="center"/>
      <protection/>
    </xf>
    <xf numFmtId="3" fontId="88" fillId="0" borderId="0" xfId="0" applyNumberFormat="1" applyFont="1" applyFill="1" applyAlignment="1">
      <alignment vertical="center"/>
    </xf>
    <xf numFmtId="3" fontId="89" fillId="0" borderId="0" xfId="0" applyNumberFormat="1" applyFont="1" applyFill="1" applyAlignment="1">
      <alignment vertical="center"/>
    </xf>
    <xf numFmtId="3" fontId="90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88" fillId="0" borderId="0" xfId="0" applyFont="1" applyFill="1" applyAlignment="1">
      <alignment horizontal="right" vertical="center" wrapText="1"/>
    </xf>
    <xf numFmtId="3" fontId="88" fillId="0" borderId="0" xfId="0" applyNumberFormat="1" applyFont="1" applyFill="1" applyAlignment="1">
      <alignment horizontal="right" vertical="center" wrapText="1"/>
    </xf>
    <xf numFmtId="0" fontId="89" fillId="0" borderId="0" xfId="0" applyFont="1" applyFill="1" applyAlignment="1">
      <alignment horizontal="right" vertical="center" wrapText="1"/>
    </xf>
    <xf numFmtId="3" fontId="89" fillId="0" borderId="0" xfId="0" applyNumberFormat="1" applyFont="1" applyFill="1" applyAlignment="1">
      <alignment horizontal="right" vertical="center" wrapText="1"/>
    </xf>
    <xf numFmtId="0" fontId="90" fillId="0" borderId="0" xfId="0" applyFont="1" applyFill="1" applyAlignment="1">
      <alignment horizontal="right" vertical="center" wrapText="1"/>
    </xf>
    <xf numFmtId="3" fontId="91" fillId="0" borderId="0" xfId="0" applyNumberFormat="1" applyFont="1" applyFill="1" applyAlignment="1">
      <alignment vertical="center" wrapText="1"/>
    </xf>
    <xf numFmtId="0" fontId="35" fillId="0" borderId="0" xfId="0" applyFont="1" applyFill="1" applyAlignment="1">
      <alignment horizontal="right" vertical="center" wrapText="1"/>
    </xf>
    <xf numFmtId="165" fontId="0" fillId="0" borderId="41" xfId="0" applyNumberFormat="1" applyFont="1" applyBorder="1" applyAlignment="1" quotePrefix="1">
      <alignment vertical="center"/>
    </xf>
    <xf numFmtId="165" fontId="26" fillId="0" borderId="41" xfId="0" applyNumberFormat="1" applyFont="1" applyBorder="1" applyAlignment="1" quotePrefix="1">
      <alignment vertical="center"/>
    </xf>
    <xf numFmtId="0" fontId="0" fillId="92" borderId="48" xfId="0" applyFont="1" applyFill="1" applyBorder="1" applyAlignment="1">
      <alignment horizontal="center" vertical="center"/>
    </xf>
    <xf numFmtId="3" fontId="0" fillId="92" borderId="36" xfId="0" applyNumberFormat="1" applyFont="1" applyFill="1" applyBorder="1" applyAlignment="1" quotePrefix="1">
      <alignment vertical="center"/>
    </xf>
    <xf numFmtId="3" fontId="26" fillId="92" borderId="38" xfId="0" applyNumberFormat="1" applyFont="1" applyFill="1" applyBorder="1" applyAlignment="1">
      <alignment vertical="center"/>
    </xf>
    <xf numFmtId="0" fontId="33" fillId="0" borderId="0" xfId="126" applyFont="1" applyFill="1" applyAlignment="1">
      <alignment horizontal="center"/>
      <protection/>
    </xf>
    <xf numFmtId="0" fontId="81" fillId="0" borderId="18" xfId="0" applyFont="1" applyBorder="1"/>
    <xf numFmtId="0" fontId="81" fillId="0" borderId="18" xfId="0" applyFont="1" applyBorder="1" applyAlignment="1">
      <alignment wrapText="1"/>
    </xf>
    <xf numFmtId="14" fontId="81" fillId="0" borderId="18" xfId="0" applyNumberFormat="1" applyFont="1" applyBorder="1"/>
    <xf numFmtId="3" fontId="81" fillId="0" borderId="18" xfId="0" applyNumberFormat="1" applyFont="1" applyBorder="1"/>
    <xf numFmtId="0" fontId="81" fillId="92" borderId="18" xfId="0" applyFont="1" applyFill="1" applyBorder="1" applyAlignment="1">
      <alignment wrapText="1"/>
    </xf>
    <xf numFmtId="3" fontId="81" fillId="92" borderId="18" xfId="0" applyNumberFormat="1" applyFont="1" applyFill="1" applyBorder="1"/>
    <xf numFmtId="3" fontId="81" fillId="0" borderId="18" xfId="0" applyNumberFormat="1" applyFont="1" applyFill="1" applyBorder="1"/>
    <xf numFmtId="0" fontId="81" fillId="92" borderId="18" xfId="0" applyFont="1" applyFill="1" applyBorder="1"/>
    <xf numFmtId="1" fontId="79" fillId="0" borderId="104" xfId="0" applyNumberFormat="1" applyFont="1" applyBorder="1" applyAlignment="1">
      <alignment wrapText="1"/>
    </xf>
    <xf numFmtId="3" fontId="79" fillId="0" borderId="104" xfId="0" applyNumberFormat="1" applyFont="1" applyBorder="1" applyAlignment="1">
      <alignment horizontal="right" wrapText="1" indent="1"/>
    </xf>
    <xf numFmtId="3" fontId="92" fillId="0" borderId="105" xfId="0" applyNumberFormat="1" applyFont="1" applyBorder="1" applyAlignment="1">
      <alignment horizontal="right" wrapText="1" indent="1"/>
    </xf>
    <xf numFmtId="1" fontId="92" fillId="0" borderId="106" xfId="0" applyNumberFormat="1" applyFont="1" applyBorder="1" applyAlignment="1">
      <alignment wrapText="1"/>
    </xf>
    <xf numFmtId="3" fontId="92" fillId="0" borderId="106" xfId="0" applyNumberFormat="1" applyFont="1" applyBorder="1" applyAlignment="1">
      <alignment horizontal="right" wrapText="1" indent="1"/>
    </xf>
    <xf numFmtId="3" fontId="93" fillId="0" borderId="104" xfId="0" applyNumberFormat="1" applyFont="1" applyBorder="1" applyAlignment="1">
      <alignment horizontal="right" wrapText="1" indent="1"/>
    </xf>
    <xf numFmtId="3" fontId="94" fillId="0" borderId="105" xfId="0" applyNumberFormat="1" applyFont="1" applyBorder="1" applyAlignment="1">
      <alignment horizontal="right" wrapText="1" indent="1"/>
    </xf>
    <xf numFmtId="3" fontId="93" fillId="0" borderId="104" xfId="0" applyNumberFormat="1" applyFont="1" applyFill="1" applyBorder="1" applyAlignment="1">
      <alignment horizontal="right" wrapText="1" indent="1"/>
    </xf>
    <xf numFmtId="1" fontId="79" fillId="0" borderId="104" xfId="0" applyNumberFormat="1" applyFont="1" applyFill="1" applyBorder="1" applyAlignment="1">
      <alignment wrapText="1"/>
    </xf>
    <xf numFmtId="3" fontId="94" fillId="0" borderId="106" xfId="0" applyNumberFormat="1" applyFont="1" applyBorder="1" applyAlignment="1">
      <alignment horizontal="right" wrapText="1" indent="1"/>
    </xf>
    <xf numFmtId="1" fontId="92" fillId="0" borderId="107" xfId="0" applyNumberFormat="1" applyFont="1" applyBorder="1" applyAlignment="1">
      <alignment wrapText="1"/>
    </xf>
    <xf numFmtId="3" fontId="92" fillId="0" borderId="107" xfId="0" applyNumberFormat="1" applyFont="1" applyBorder="1" applyAlignment="1">
      <alignment horizontal="right" wrapText="1" indent="1"/>
    </xf>
    <xf numFmtId="3" fontId="94" fillId="0" borderId="107" xfId="0" applyNumberFormat="1" applyFont="1" applyBorder="1" applyAlignment="1">
      <alignment horizontal="right" wrapText="1" indent="1"/>
    </xf>
    <xf numFmtId="0" fontId="92" fillId="0" borderId="108" xfId="0" applyFont="1" applyBorder="1" applyAlignment="1">
      <alignment vertical="center" wrapText="1"/>
    </xf>
    <xf numFmtId="1" fontId="92" fillId="0" borderId="109" xfId="0" applyNumberFormat="1" applyFont="1" applyBorder="1" applyAlignment="1">
      <alignment wrapText="1"/>
    </xf>
    <xf numFmtId="0" fontId="79" fillId="0" borderId="109" xfId="0" applyFont="1" applyBorder="1" applyAlignment="1">
      <alignment vertical="center" wrapText="1"/>
    </xf>
    <xf numFmtId="1" fontId="79" fillId="0" borderId="109" xfId="0" applyNumberFormat="1" applyFont="1" applyBorder="1" applyAlignment="1">
      <alignment horizontal="left" wrapText="1" indent="1"/>
    </xf>
    <xf numFmtId="3" fontId="79" fillId="0" borderId="109" xfId="0" applyNumberFormat="1" applyFont="1" applyBorder="1" applyAlignment="1">
      <alignment horizontal="right" wrapText="1" indent="1"/>
    </xf>
    <xf numFmtId="3" fontId="79" fillId="0" borderId="109" xfId="0" applyNumberFormat="1" applyFont="1" applyFill="1" applyBorder="1" applyAlignment="1">
      <alignment horizontal="right" wrapText="1" indent="1"/>
    </xf>
    <xf numFmtId="3" fontId="92" fillId="0" borderId="109" xfId="0" applyNumberFormat="1" applyFont="1" applyBorder="1" applyAlignment="1">
      <alignment horizontal="right" wrapText="1" indent="1"/>
    </xf>
    <xf numFmtId="1" fontId="79" fillId="0" borderId="110" xfId="0" applyNumberFormat="1" applyFont="1" applyBorder="1" applyAlignment="1">
      <alignment wrapText="1"/>
    </xf>
    <xf numFmtId="3" fontId="79" fillId="0" borderId="111" xfId="0" applyNumberFormat="1" applyFont="1" applyBorder="1" applyAlignment="1">
      <alignment horizontal="right" wrapText="1" indent="1"/>
    </xf>
    <xf numFmtId="1" fontId="79" fillId="0" borderId="108" xfId="0" applyNumberFormat="1" applyFont="1" applyBorder="1" applyAlignment="1">
      <alignment wrapText="1"/>
    </xf>
    <xf numFmtId="0" fontId="77" fillId="0" borderId="0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 applyBorder="1"/>
    <xf numFmtId="0" fontId="94" fillId="0" borderId="0" xfId="0" applyFont="1" applyFill="1" applyBorder="1" applyAlignment="1">
      <alignment horizontal="right"/>
    </xf>
    <xf numFmtId="3" fontId="26" fillId="0" borderId="112" xfId="126" applyNumberFormat="1" applyFont="1" applyFill="1" applyBorder="1" applyAlignment="1">
      <alignment vertical="center"/>
      <protection/>
    </xf>
    <xf numFmtId="3" fontId="26" fillId="0" borderId="113" xfId="126" applyNumberFormat="1" applyFont="1" applyFill="1" applyBorder="1" applyAlignment="1">
      <alignment vertical="center"/>
      <protection/>
    </xf>
    <xf numFmtId="3" fontId="26" fillId="0" borderId="113" xfId="126" applyNumberFormat="1" applyFont="1" applyFill="1" applyBorder="1" applyAlignment="1">
      <alignment vertical="center"/>
      <protection/>
    </xf>
    <xf numFmtId="0" fontId="0" fillId="0" borderId="32" xfId="126" applyFont="1" applyFill="1" applyBorder="1" applyAlignment="1">
      <alignment vertical="center" wrapText="1"/>
      <protection/>
    </xf>
    <xf numFmtId="3" fontId="26" fillId="0" borderId="114" xfId="126" applyNumberFormat="1" applyFont="1" applyFill="1" applyBorder="1" applyAlignment="1">
      <alignment vertical="center"/>
      <protection/>
    </xf>
    <xf numFmtId="3" fontId="26" fillId="0" borderId="115" xfId="126" applyNumberFormat="1" applyFont="1" applyFill="1" applyBorder="1" applyAlignment="1">
      <alignment vertical="center"/>
      <protection/>
    </xf>
    <xf numFmtId="3" fontId="26" fillId="0" borderId="116" xfId="126" applyNumberFormat="1" applyFont="1" applyFill="1" applyBorder="1" applyAlignment="1">
      <alignment vertical="center"/>
      <protection/>
    </xf>
    <xf numFmtId="49" fontId="30" fillId="0" borderId="0" xfId="236" applyNumberFormat="1" applyFont="1" applyFill="1" applyAlignment="1">
      <alignment wrapText="1"/>
      <protection/>
    </xf>
    <xf numFmtId="0" fontId="83" fillId="0" borderId="0" xfId="236" applyFont="1" applyFill="1" applyAlignment="1">
      <alignment horizontal="left"/>
      <protection/>
    </xf>
    <xf numFmtId="0" fontId="7" fillId="0" borderId="0" xfId="238" applyAlignment="1">
      <alignment horizontal="left"/>
      <protection/>
    </xf>
    <xf numFmtId="49" fontId="86" fillId="0" borderId="117" xfId="236" applyNumberFormat="1" applyFont="1" applyFill="1" applyBorder="1" applyAlignment="1">
      <alignment wrapText="1"/>
      <protection/>
    </xf>
    <xf numFmtId="165" fontId="86" fillId="0" borderId="118" xfId="237" applyNumberFormat="1" applyFont="1" applyFill="1" applyBorder="1" applyAlignment="1" applyProtection="1">
      <alignment horizontal="center" vertical="center" wrapText="1"/>
      <protection hidden="1"/>
    </xf>
    <xf numFmtId="49" fontId="86" fillId="0" borderId="118" xfId="236" applyNumberFormat="1" applyFont="1" applyFill="1" applyBorder="1" applyAlignment="1">
      <alignment horizontal="center" wrapText="1"/>
      <protection/>
    </xf>
    <xf numFmtId="0" fontId="28" fillId="0" borderId="34" xfId="236" applyFont="1" applyFill="1" applyBorder="1" applyAlignment="1">
      <alignment horizontal="center" vertical="center"/>
      <protection/>
    </xf>
    <xf numFmtId="49" fontId="87" fillId="0" borderId="118" xfId="236" applyNumberFormat="1" applyFont="1" applyFill="1" applyBorder="1" applyAlignment="1">
      <alignment wrapText="1"/>
      <protection/>
    </xf>
    <xf numFmtId="0" fontId="28" fillId="0" borderId="34" xfId="239" applyFont="1" applyFill="1" applyBorder="1" applyAlignment="1">
      <alignment horizontal="center" vertical="center" wrapText="1"/>
      <protection/>
    </xf>
    <xf numFmtId="49" fontId="87" fillId="0" borderId="119" xfId="236" applyNumberFormat="1" applyFont="1" applyFill="1" applyBorder="1" applyAlignment="1">
      <alignment vertical="center" wrapText="1"/>
      <protection/>
    </xf>
    <xf numFmtId="0" fontId="28" fillId="0" borderId="30" xfId="236" applyFont="1" applyFill="1" applyBorder="1" applyAlignment="1">
      <alignment horizontal="center" vertical="center"/>
      <protection/>
    </xf>
    <xf numFmtId="0" fontId="28" fillId="0" borderId="41" xfId="236" applyFont="1" applyFill="1" applyBorder="1" applyAlignment="1">
      <alignment horizontal="center" vertical="center"/>
      <protection/>
    </xf>
    <xf numFmtId="0" fontId="28" fillId="0" borderId="41" xfId="236" applyFont="1" applyFill="1" applyBorder="1" applyAlignment="1">
      <alignment horizontal="center" vertical="center" wrapText="1"/>
      <protection/>
    </xf>
    <xf numFmtId="0" fontId="28" fillId="0" borderId="31" xfId="239" applyFont="1" applyFill="1" applyBorder="1" applyAlignment="1">
      <alignment horizontal="center" wrapText="1"/>
      <protection/>
    </xf>
    <xf numFmtId="0" fontId="28" fillId="0" borderId="37" xfId="236" applyFont="1" applyFill="1" applyBorder="1" applyAlignment="1">
      <alignment horizontal="center" vertical="center" wrapText="1"/>
      <protection/>
    </xf>
    <xf numFmtId="0" fontId="28" fillId="0" borderId="33" xfId="236" applyFont="1" applyFill="1" applyBorder="1" applyAlignment="1">
      <alignment horizontal="center" vertical="center" wrapText="1"/>
      <protection/>
    </xf>
    <xf numFmtId="49" fontId="87" fillId="0" borderId="117" xfId="236" applyNumberFormat="1" applyFont="1" applyFill="1" applyBorder="1" applyAlignment="1">
      <alignment vertical="center" wrapText="1"/>
      <protection/>
    </xf>
    <xf numFmtId="0" fontId="28" fillId="0" borderId="120" xfId="236" applyFont="1" applyFill="1" applyBorder="1" applyAlignment="1">
      <alignment horizontal="center" vertical="center"/>
      <protection/>
    </xf>
    <xf numFmtId="0" fontId="28" fillId="0" borderId="93" xfId="236" applyFont="1" applyFill="1" applyBorder="1" applyAlignment="1">
      <alignment horizontal="center" vertical="center"/>
      <protection/>
    </xf>
    <xf numFmtId="0" fontId="28" fillId="0" borderId="93" xfId="236" applyFont="1" applyFill="1" applyBorder="1" applyAlignment="1">
      <alignment horizontal="center" vertical="center" wrapText="1"/>
      <protection/>
    </xf>
    <xf numFmtId="0" fontId="28" fillId="0" borderId="93" xfId="239" applyFont="1" applyFill="1" applyBorder="1" applyAlignment="1">
      <alignment horizontal="center" wrapText="1"/>
      <protection/>
    </xf>
    <xf numFmtId="0" fontId="28" fillId="0" borderId="121" xfId="239" applyFont="1" applyFill="1" applyBorder="1" applyAlignment="1">
      <alignment horizontal="center" wrapText="1"/>
      <protection/>
    </xf>
    <xf numFmtId="0" fontId="28" fillId="0" borderId="120" xfId="236" applyFont="1" applyFill="1" applyBorder="1" applyAlignment="1">
      <alignment horizontal="center" vertical="center" wrapText="1"/>
      <protection/>
    </xf>
    <xf numFmtId="0" fontId="28" fillId="0" borderId="93" xfId="239" applyFont="1" applyFill="1" applyBorder="1" applyAlignment="1">
      <alignment horizontal="center" vertical="center" wrapText="1"/>
      <protection/>
    </xf>
    <xf numFmtId="49" fontId="86" fillId="0" borderId="71" xfId="236" applyNumberFormat="1" applyFont="1" applyFill="1" applyBorder="1" applyAlignment="1">
      <alignment horizontal="left" vertical="center" wrapText="1"/>
      <protection/>
    </xf>
    <xf numFmtId="0" fontId="0" fillId="0" borderId="122" xfId="0" applyBorder="1"/>
    <xf numFmtId="0" fontId="0" fillId="0" borderId="0" xfId="126" applyFont="1" applyFill="1">
      <alignment/>
      <protection/>
    </xf>
    <xf numFmtId="0" fontId="95" fillId="0" borderId="0" xfId="236" applyFont="1" applyFill="1" applyAlignment="1">
      <alignment horizontal="right"/>
      <protection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27" fillId="0" borderId="123" xfId="192" applyNumberFormat="1" applyFont="1" applyFill="1" applyBorder="1" applyAlignment="1">
      <alignment horizontal="center"/>
      <protection/>
    </xf>
    <xf numFmtId="169" fontId="28" fillId="0" borderId="124" xfId="192" applyNumberFormat="1" applyFont="1" applyFill="1" applyBorder="1">
      <alignment/>
      <protection/>
    </xf>
    <xf numFmtId="169" fontId="28" fillId="0" borderId="46" xfId="192" applyNumberFormat="1" applyFont="1" applyBorder="1">
      <alignment/>
      <protection/>
    </xf>
    <xf numFmtId="169" fontId="27" fillId="0" borderId="125" xfId="192" applyNumberFormat="1" applyFont="1" applyFill="1" applyBorder="1">
      <alignment/>
      <protection/>
    </xf>
    <xf numFmtId="169" fontId="27" fillId="0" borderId="91" xfId="192" applyNumberFormat="1" applyFont="1" applyBorder="1">
      <alignment/>
      <protection/>
    </xf>
    <xf numFmtId="169" fontId="27" fillId="0" borderId="32" xfId="192" applyNumberFormat="1" applyFont="1" applyFill="1" applyBorder="1">
      <alignment/>
      <protection/>
    </xf>
    <xf numFmtId="169" fontId="27" fillId="0" borderId="78" xfId="192" applyNumberFormat="1" applyFont="1" applyBorder="1">
      <alignment/>
      <protection/>
    </xf>
    <xf numFmtId="169" fontId="29" fillId="0" borderId="32" xfId="192" applyNumberFormat="1" applyFont="1" applyFill="1" applyBorder="1">
      <alignment/>
      <protection/>
    </xf>
    <xf numFmtId="169" fontId="29" fillId="0" borderId="78" xfId="192" applyNumberFormat="1" applyFont="1" applyBorder="1">
      <alignment/>
      <protection/>
    </xf>
    <xf numFmtId="169" fontId="29" fillId="0" borderId="124" xfId="192" applyNumberFormat="1" applyFont="1" applyFill="1" applyBorder="1">
      <alignment/>
      <protection/>
    </xf>
    <xf numFmtId="169" fontId="28" fillId="0" borderId="92" xfId="192" applyNumberFormat="1" applyFont="1" applyFill="1" applyBorder="1">
      <alignment/>
      <protection/>
    </xf>
    <xf numFmtId="169" fontId="28" fillId="0" borderId="62" xfId="192" applyNumberFormat="1" applyFont="1" applyBorder="1">
      <alignment/>
      <protection/>
    </xf>
    <xf numFmtId="169" fontId="27" fillId="0" borderId="124" xfId="192" applyNumberFormat="1" applyFont="1" applyFill="1" applyBorder="1">
      <alignment/>
      <protection/>
    </xf>
    <xf numFmtId="169" fontId="27" fillId="0" borderId="46" xfId="192" applyNumberFormat="1" applyFont="1" applyBorder="1">
      <alignment/>
      <protection/>
    </xf>
    <xf numFmtId="169" fontId="27" fillId="0" borderId="92" xfId="192" applyNumberFormat="1" applyFont="1" applyFill="1" applyBorder="1">
      <alignment/>
      <protection/>
    </xf>
    <xf numFmtId="169" fontId="27" fillId="0" borderId="62" xfId="192" applyNumberFormat="1" applyFont="1" applyBorder="1">
      <alignment/>
      <protection/>
    </xf>
    <xf numFmtId="3" fontId="79" fillId="0" borderId="126" xfId="0" applyNumberFormat="1" applyFont="1" applyBorder="1" applyAlignment="1">
      <alignment horizontal="right" wrapText="1" indent="1"/>
    </xf>
    <xf numFmtId="3" fontId="92" fillId="0" borderId="127" xfId="0" applyNumberFormat="1" applyFont="1" applyBorder="1" applyAlignment="1">
      <alignment horizontal="right" wrapText="1" indent="1"/>
    </xf>
    <xf numFmtId="0" fontId="92" fillId="0" borderId="128" xfId="0" applyFont="1" applyBorder="1" applyAlignment="1">
      <alignment vertical="center" wrapText="1"/>
    </xf>
    <xf numFmtId="3" fontId="92" fillId="0" borderId="129" xfId="0" applyNumberFormat="1" applyFont="1" applyBorder="1" applyAlignment="1">
      <alignment horizontal="right" wrapText="1" indent="1"/>
    </xf>
    <xf numFmtId="3" fontId="93" fillId="0" borderId="126" xfId="0" applyNumberFormat="1" applyFont="1" applyBorder="1" applyAlignment="1">
      <alignment horizontal="right" wrapText="1" indent="1"/>
    </xf>
    <xf numFmtId="3" fontId="94" fillId="0" borderId="127" xfId="0" applyNumberFormat="1" applyFont="1" applyBorder="1" applyAlignment="1">
      <alignment horizontal="right" wrapText="1" indent="1"/>
    </xf>
    <xf numFmtId="3" fontId="93" fillId="0" borderId="126" xfId="0" applyNumberFormat="1" applyFont="1" applyFill="1" applyBorder="1" applyAlignment="1">
      <alignment horizontal="right" wrapText="1" indent="1"/>
    </xf>
    <xf numFmtId="3" fontId="94" fillId="0" borderId="129" xfId="0" applyNumberFormat="1" applyFont="1" applyBorder="1" applyAlignment="1">
      <alignment horizontal="right" wrapText="1" indent="1"/>
    </xf>
    <xf numFmtId="0" fontId="92" fillId="0" borderId="130" xfId="0" applyFont="1" applyBorder="1" applyAlignment="1">
      <alignment vertical="center" wrapText="1"/>
    </xf>
    <xf numFmtId="3" fontId="94" fillId="0" borderId="50" xfId="0" applyNumberFormat="1" applyFont="1" applyBorder="1" applyAlignment="1">
      <alignment horizontal="right" wrapText="1" indent="1"/>
    </xf>
    <xf numFmtId="0" fontId="92" fillId="0" borderId="131" xfId="0" applyFont="1" applyBorder="1" applyAlignment="1">
      <alignment vertical="center" wrapText="1"/>
    </xf>
    <xf numFmtId="0" fontId="92" fillId="0" borderId="132" xfId="0" applyFont="1" applyBorder="1"/>
    <xf numFmtId="1" fontId="92" fillId="0" borderId="133" xfId="0" applyNumberFormat="1" applyFont="1" applyBorder="1" applyAlignment="1">
      <alignment wrapText="1"/>
    </xf>
    <xf numFmtId="3" fontId="92" fillId="0" borderId="134" xfId="0" applyNumberFormat="1" applyFont="1" applyBorder="1" applyAlignment="1">
      <alignment horizontal="right" wrapText="1" indent="1"/>
    </xf>
    <xf numFmtId="3" fontId="94" fillId="0" borderId="134" xfId="0" applyNumberFormat="1" applyFont="1" applyBorder="1" applyAlignment="1">
      <alignment horizontal="right" wrapText="1" indent="1"/>
    </xf>
    <xf numFmtId="3" fontId="94" fillId="0" borderId="135" xfId="0" applyNumberFormat="1" applyFont="1" applyBorder="1" applyAlignment="1">
      <alignment horizontal="right" wrapText="1" indent="1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3" fontId="26" fillId="0" borderId="85" xfId="0" applyNumberFormat="1" applyFont="1" applyBorder="1" applyAlignment="1">
      <alignment vertical="center"/>
    </xf>
    <xf numFmtId="165" fontId="26" fillId="0" borderId="86" xfId="0" applyNumberFormat="1" applyFont="1" applyBorder="1" applyAlignment="1" quotePrefix="1">
      <alignment vertical="center"/>
    </xf>
    <xf numFmtId="43" fontId="81" fillId="0" borderId="0" xfId="240" applyFont="1"/>
    <xf numFmtId="3" fontId="81" fillId="0" borderId="0" xfId="0" applyNumberFormat="1" applyFont="1"/>
    <xf numFmtId="0" fontId="96" fillId="0" borderId="0" xfId="0" applyFont="1"/>
    <xf numFmtId="0" fontId="81" fillId="0" borderId="18" xfId="0" applyFont="1" applyBorder="1"/>
    <xf numFmtId="0" fontId="81" fillId="0" borderId="18" xfId="0" applyFont="1" applyBorder="1" applyAlignment="1">
      <alignment wrapText="1"/>
    </xf>
    <xf numFmtId="0" fontId="36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0" xfId="123" applyFont="1" applyFill="1" applyAlignment="1">
      <alignment horizontal="center" vertical="center" wrapText="1"/>
      <protection/>
    </xf>
    <xf numFmtId="0" fontId="27" fillId="0" borderId="0" xfId="122" applyFont="1" applyFill="1" applyAlignment="1">
      <alignment vertical="center" wrapText="1"/>
      <protection/>
    </xf>
    <xf numFmtId="0" fontId="27" fillId="0" borderId="0" xfId="123" applyFill="1" applyAlignment="1">
      <alignment vertical="center" wrapText="1"/>
      <protection/>
    </xf>
    <xf numFmtId="49" fontId="85" fillId="0" borderId="0" xfId="236" applyNumberFormat="1" applyFont="1" applyFill="1" applyAlignment="1">
      <alignment horizontal="center" vertical="center" wrapText="1"/>
      <protection/>
    </xf>
    <xf numFmtId="49" fontId="85" fillId="0" borderId="136" xfId="236" applyNumberFormat="1" applyFont="1" applyFill="1" applyBorder="1" applyAlignment="1">
      <alignment horizontal="center" vertical="center" wrapText="1"/>
      <protection/>
    </xf>
    <xf numFmtId="0" fontId="86" fillId="0" borderId="0" xfId="236" applyFont="1" applyFill="1" applyAlignment="1">
      <alignment horizontal="left"/>
      <protection/>
    </xf>
    <xf numFmtId="0" fontId="86" fillId="0" borderId="125" xfId="236" applyFont="1" applyFill="1" applyBorder="1" applyAlignment="1">
      <alignment horizontal="center" vertical="center"/>
      <protection/>
    </xf>
    <xf numFmtId="0" fontId="86" fillId="0" borderId="94" xfId="236" applyFont="1" applyFill="1" applyBorder="1" applyAlignment="1">
      <alignment horizontal="center" vertical="center"/>
      <protection/>
    </xf>
    <xf numFmtId="0" fontId="86" fillId="0" borderId="137" xfId="236" applyFont="1" applyFill="1" applyBorder="1" applyAlignment="1">
      <alignment horizontal="center" vertical="center"/>
      <protection/>
    </xf>
    <xf numFmtId="0" fontId="86" fillId="0" borderId="122" xfId="236" applyFont="1" applyFill="1" applyBorder="1" applyAlignment="1">
      <alignment horizontal="center" vertical="center"/>
      <protection/>
    </xf>
    <xf numFmtId="0" fontId="86" fillId="0" borderId="0" xfId="236" applyFont="1" applyFill="1" applyBorder="1" applyAlignment="1">
      <alignment horizontal="center" vertical="center"/>
      <protection/>
    </xf>
    <xf numFmtId="0" fontId="86" fillId="0" borderId="98" xfId="236" applyFont="1" applyFill="1" applyBorder="1" applyAlignment="1">
      <alignment horizontal="center" vertical="center"/>
      <protection/>
    </xf>
    <xf numFmtId="0" fontId="86" fillId="0" borderId="124" xfId="236" applyFont="1" applyFill="1" applyBorder="1" applyAlignment="1">
      <alignment horizontal="center" vertical="center"/>
      <protection/>
    </xf>
    <xf numFmtId="0" fontId="86" fillId="0" borderId="136" xfId="236" applyFont="1" applyFill="1" applyBorder="1" applyAlignment="1">
      <alignment horizontal="center" vertical="center"/>
      <protection/>
    </xf>
    <xf numFmtId="0" fontId="86" fillId="0" borderId="138" xfId="236" applyFont="1" applyFill="1" applyBorder="1" applyAlignment="1">
      <alignment horizontal="center" vertical="center"/>
      <protection/>
    </xf>
    <xf numFmtId="0" fontId="0" fillId="0" borderId="0" xfId="0" applyFont="1" applyAlignment="1">
      <alignment horizontal="center" vertical="center"/>
    </xf>
    <xf numFmtId="3" fontId="27" fillId="7" borderId="55" xfId="192" applyNumberFormat="1" applyFont="1" applyFill="1" applyBorder="1" applyAlignment="1">
      <alignment vertical="center"/>
      <protection/>
    </xf>
    <xf numFmtId="0" fontId="0" fillId="0" borderId="31" xfId="0" applyBorder="1" applyAlignment="1">
      <alignment vertical="center"/>
    </xf>
    <xf numFmtId="0" fontId="27" fillId="0" borderId="67" xfId="192" applyFont="1" applyBorder="1" applyAlignment="1">
      <alignment horizontal="center" vertical="center"/>
      <protection/>
    </xf>
    <xf numFmtId="0" fontId="27" fillId="0" borderId="139" xfId="192" applyFont="1" applyBorder="1" applyAlignment="1">
      <alignment horizontal="center" vertical="center"/>
      <protection/>
    </xf>
    <xf numFmtId="0" fontId="27" fillId="0" borderId="140" xfId="192" applyFont="1" applyBorder="1" applyAlignment="1">
      <alignment horizontal="center" vertical="center"/>
      <protection/>
    </xf>
    <xf numFmtId="0" fontId="25" fillId="0" borderId="0" xfId="0" applyFont="1" applyAlignment="1">
      <alignment horizontal="center" vertical="center" wrapText="1"/>
    </xf>
    <xf numFmtId="0" fontId="86" fillId="0" borderId="0" xfId="0" applyFont="1" applyFill="1" applyAlignment="1">
      <alignment horizontal="center" vertical="center" wrapText="1"/>
    </xf>
    <xf numFmtId="0" fontId="92" fillId="0" borderId="141" xfId="0" applyFont="1" applyBorder="1" applyAlignment="1">
      <alignment wrapText="1"/>
    </xf>
    <xf numFmtId="0" fontId="92" fillId="0" borderId="106" xfId="0" applyFont="1" applyBorder="1" applyAlignment="1">
      <alignment wrapText="1"/>
    </xf>
    <xf numFmtId="0" fontId="79" fillId="0" borderId="130" xfId="0" applyFont="1" applyBorder="1" applyAlignment="1">
      <alignment vertical="center" wrapText="1"/>
    </xf>
    <xf numFmtId="0" fontId="79" fillId="0" borderId="131" xfId="0" applyFont="1" applyBorder="1" applyAlignment="1">
      <alignment vertical="center" wrapText="1"/>
    </xf>
    <xf numFmtId="0" fontId="92" fillId="0" borderId="142" xfId="0" applyFont="1" applyBorder="1" applyAlignment="1">
      <alignment wrapText="1"/>
    </xf>
    <xf numFmtId="0" fontId="92" fillId="0" borderId="143" xfId="0" applyFont="1" applyBorder="1" applyAlignment="1">
      <alignment wrapText="1"/>
    </xf>
    <xf numFmtId="0" fontId="79" fillId="0" borderId="144" xfId="0" applyFont="1" applyBorder="1" applyAlignment="1">
      <alignment vertical="center" wrapText="1"/>
    </xf>
    <xf numFmtId="0" fontId="79" fillId="0" borderId="144" xfId="0" applyFont="1" applyFill="1" applyBorder="1" applyAlignment="1">
      <alignment vertical="center" wrapText="1"/>
    </xf>
    <xf numFmtId="0" fontId="79" fillId="0" borderId="130" xfId="0" applyFont="1" applyFill="1" applyBorder="1" applyAlignment="1">
      <alignment vertical="center" wrapText="1"/>
    </xf>
    <xf numFmtId="0" fontId="79" fillId="0" borderId="131" xfId="0" applyFont="1" applyFill="1" applyBorder="1" applyAlignment="1">
      <alignment vertical="center" wrapText="1"/>
    </xf>
    <xf numFmtId="0" fontId="77" fillId="0" borderId="0" xfId="0" applyFont="1" applyBorder="1" applyAlignment="1">
      <alignment horizontal="center" vertical="center" wrapText="1"/>
    </xf>
    <xf numFmtId="0" fontId="77" fillId="0" borderId="145" xfId="0" applyFont="1" applyBorder="1" applyAlignment="1">
      <alignment horizontal="center" vertical="center" wrapText="1"/>
    </xf>
    <xf numFmtId="0" fontId="77" fillId="0" borderId="130" xfId="0" applyFont="1" applyBorder="1" applyAlignment="1">
      <alignment horizontal="center" vertical="center" wrapText="1"/>
    </xf>
    <xf numFmtId="0" fontId="77" fillId="0" borderId="146" xfId="0" applyFont="1" applyBorder="1" applyAlignment="1">
      <alignment horizontal="center" vertical="center" wrapText="1"/>
    </xf>
    <xf numFmtId="0" fontId="77" fillId="0" borderId="147" xfId="0" applyFont="1" applyBorder="1" applyAlignment="1">
      <alignment horizontal="center" vertical="center" wrapText="1"/>
    </xf>
    <xf numFmtId="0" fontId="77" fillId="0" borderId="148" xfId="0" applyFont="1" applyBorder="1" applyAlignment="1">
      <alignment horizontal="center" vertical="center" wrapText="1"/>
    </xf>
    <xf numFmtId="0" fontId="77" fillId="0" borderId="149" xfId="0" applyFont="1" applyBorder="1" applyAlignment="1">
      <alignment horizontal="center" vertical="center" wrapText="1"/>
    </xf>
    <xf numFmtId="0" fontId="77" fillId="0" borderId="150" xfId="0" applyFont="1" applyBorder="1" applyAlignment="1">
      <alignment horizontal="center" vertical="center" wrapText="1"/>
    </xf>
    <xf numFmtId="0" fontId="77" fillId="0" borderId="151" xfId="0" applyFont="1" applyBorder="1" applyAlignment="1">
      <alignment horizontal="center" vertical="center" wrapText="1"/>
    </xf>
    <xf numFmtId="0" fontId="77" fillId="0" borderId="15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2" fillId="0" borderId="109" xfId="0" applyFont="1" applyBorder="1" applyAlignment="1">
      <alignment wrapText="1"/>
    </xf>
    <xf numFmtId="0" fontId="77" fillId="0" borderId="0" xfId="0" applyFont="1" applyAlignment="1">
      <alignment horizontal="center" vertical="center" wrapText="1"/>
    </xf>
    <xf numFmtId="0" fontId="77" fillId="0" borderId="153" xfId="0" applyFont="1" applyBorder="1" applyAlignment="1">
      <alignment horizontal="right" vertical="center" wrapText="1"/>
    </xf>
    <xf numFmtId="0" fontId="77" fillId="0" borderId="154" xfId="0" applyFont="1" applyBorder="1" applyAlignment="1">
      <alignment horizontal="center" vertical="center" wrapText="1"/>
    </xf>
    <xf numFmtId="0" fontId="77" fillId="0" borderId="155" xfId="0" applyFont="1" applyBorder="1" applyAlignment="1">
      <alignment horizontal="center" vertical="center" wrapText="1"/>
    </xf>
    <xf numFmtId="0" fontId="92" fillId="0" borderId="156" xfId="0" applyFont="1" applyBorder="1" applyAlignment="1">
      <alignment wrapText="1"/>
    </xf>
    <xf numFmtId="0" fontId="79" fillId="0" borderId="154" xfId="0" applyFont="1" applyBorder="1" applyAlignment="1">
      <alignment vertical="center" wrapText="1"/>
    </xf>
    <xf numFmtId="0" fontId="79" fillId="0" borderId="148" xfId="0" applyFont="1" applyBorder="1" applyAlignment="1">
      <alignment vertical="center" wrapText="1"/>
    </xf>
    <xf numFmtId="0" fontId="79" fillId="0" borderId="108" xfId="0" applyFont="1" applyBorder="1" applyAlignment="1">
      <alignment vertical="center" wrapText="1"/>
    </xf>
    <xf numFmtId="0" fontId="92" fillId="0" borderId="157" xfId="0" applyFont="1" applyBorder="1" applyAlignment="1">
      <alignment wrapText="1"/>
    </xf>
    <xf numFmtId="0" fontId="33" fillId="0" borderId="0" xfId="126" applyFont="1" applyFill="1" applyAlignment="1">
      <alignment horizontal="center"/>
      <protection/>
    </xf>
  </cellXfs>
  <cellStyles count="22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¬µrka" xfId="20"/>
    <cellStyle name="20 % – Zvýraznění1" xfId="21"/>
    <cellStyle name="20 % – Zvýraznění2" xfId="22"/>
    <cellStyle name="20 % – Zvýraznění3" xfId="23"/>
    <cellStyle name="20 % – Zvýraznění4" xfId="24"/>
    <cellStyle name="20 % – Zvýraznění5" xfId="25"/>
    <cellStyle name="20 % – Zvýraznění6" xfId="26"/>
    <cellStyle name="20% - Accent1" xfId="27"/>
    <cellStyle name="20% - Accent2" xfId="28"/>
    <cellStyle name="20% - Accent3" xfId="29"/>
    <cellStyle name="20% - Accent4" xfId="30"/>
    <cellStyle name="20% - Accent5" xfId="31"/>
    <cellStyle name="20% - Accent6" xfId="32"/>
    <cellStyle name="40 % – Zvýraznění1" xfId="33"/>
    <cellStyle name="40 % – Zvýraznění2" xfId="34"/>
    <cellStyle name="40 % – Zvýraznění3" xfId="35"/>
    <cellStyle name="40 % – Zvýraznění4" xfId="36"/>
    <cellStyle name="40 % – Zvýraznění5" xfId="37"/>
    <cellStyle name="40 % – Zvýraznění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60 % – Zvýraznění1" xfId="45"/>
    <cellStyle name="60 % – Zvýraznění2" xfId="46"/>
    <cellStyle name="60 % – Zvýraznění3" xfId="47"/>
    <cellStyle name="60 % – Zvýraznění4" xfId="48"/>
    <cellStyle name="60 % – Zvýraznění5" xfId="49"/>
    <cellStyle name="60 % – Zvýraznění6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Accent1" xfId="57"/>
    <cellStyle name="Accent1 - 20%" xfId="58"/>
    <cellStyle name="Accent1 - 40%" xfId="59"/>
    <cellStyle name="Accent1 - 60%" xfId="60"/>
    <cellStyle name="Accent2" xfId="61"/>
    <cellStyle name="Accent2 - 20%" xfId="62"/>
    <cellStyle name="Accent2 - 40%" xfId="63"/>
    <cellStyle name="Accent2 - 60%" xfId="64"/>
    <cellStyle name="Accent3" xfId="65"/>
    <cellStyle name="Accent3 - 20%" xfId="66"/>
    <cellStyle name="Accent3 - 40%" xfId="67"/>
    <cellStyle name="Accent3 - 60%" xfId="68"/>
    <cellStyle name="Accent3_ADFZ200812" xfId="69"/>
    <cellStyle name="Accent4" xfId="70"/>
    <cellStyle name="Accent4 - 20%" xfId="71"/>
    <cellStyle name="Accent4 - 40%" xfId="72"/>
    <cellStyle name="Accent4 - 60%" xfId="73"/>
    <cellStyle name="Accent4_ADFZ200812" xfId="74"/>
    <cellStyle name="Accent5" xfId="75"/>
    <cellStyle name="Accent5 - 20%" xfId="76"/>
    <cellStyle name="Accent5 - 40%" xfId="77"/>
    <cellStyle name="Accent5 - 60%" xfId="78"/>
    <cellStyle name="Accent5_ADFZ200812" xfId="79"/>
    <cellStyle name="Accent6" xfId="80"/>
    <cellStyle name="Accent6 - 20%" xfId="81"/>
    <cellStyle name="Accent6 - 40%" xfId="82"/>
    <cellStyle name="Accent6 - 60%" xfId="83"/>
    <cellStyle name="Accent6_ADFZ200812" xfId="84"/>
    <cellStyle name="Bad" xfId="85"/>
    <cellStyle name="Calculation" xfId="86"/>
    <cellStyle name="Celkem" xfId="87"/>
    <cellStyle name="čárky [0]_PojFKSPUR 98  (2)" xfId="88"/>
    <cellStyle name="Date" xfId="89"/>
    <cellStyle name="Datum" xfId="90"/>
    <cellStyle name="Emphasis 1" xfId="91"/>
    <cellStyle name="Emphasis 2" xfId="92"/>
    <cellStyle name="Emphasis 3" xfId="93"/>
    <cellStyle name="Explanatory Text" xfId="94"/>
    <cellStyle name="Fixed" xfId="95"/>
    <cellStyle name="Good" xfId="96"/>
    <cellStyle name="Heading 1" xfId="97"/>
    <cellStyle name="Heading 2" xfId="98"/>
    <cellStyle name="Heading 3" xfId="99"/>
    <cellStyle name="Heading 4" xfId="100"/>
    <cellStyle name="Heading1" xfId="101"/>
    <cellStyle name="Heading2" xfId="102"/>
    <cellStyle name="Check Cell" xfId="103"/>
    <cellStyle name="Chybně" xfId="104"/>
    <cellStyle name="Input" xfId="105"/>
    <cellStyle name="Kontrolní buňka" xfId="106"/>
    <cellStyle name="Linked Cell" xfId="107"/>
    <cellStyle name="M·na" xfId="108"/>
    <cellStyle name="Nadpis 1" xfId="109"/>
    <cellStyle name="Nadpis 2" xfId="110"/>
    <cellStyle name="Nadpis 3" xfId="111"/>
    <cellStyle name="Nadpis 4" xfId="112"/>
    <cellStyle name="Nadpis1" xfId="113"/>
    <cellStyle name="Nadpis2" xfId="114"/>
    <cellStyle name="Název" xfId="115"/>
    <cellStyle name="Neutral" xfId="116"/>
    <cellStyle name="Neutrální" xfId="117"/>
    <cellStyle name="Normal_Tableau1" xfId="118"/>
    <cellStyle name="Normální 2" xfId="119"/>
    <cellStyle name="normální_bilance I výhledu 2009-2012 dle kapitol" xfId="120"/>
    <cellStyle name="normální_bilance jednoduchá" xfId="121"/>
    <cellStyle name="normální_LIMITY-Kapitoly-2010-2013-duben-2010" xfId="122"/>
    <cellStyle name="normální_LIMITY-Kapitoly-2015-2017-výhled-propoj" xfId="123"/>
    <cellStyle name="normální_VPS new 2009-2012 k bilanci I" xfId="124"/>
    <cellStyle name="normální_VPS new 2013-2016 k bilanci I" xfId="125"/>
    <cellStyle name="normální_Vyhled_04_06_SFZP" xfId="126"/>
    <cellStyle name="Note" xfId="127"/>
    <cellStyle name="Output" xfId="128"/>
    <cellStyle name="Pevní" xfId="129"/>
    <cellStyle name="Poznámka" xfId="130"/>
    <cellStyle name="Propojená buňka" xfId="131"/>
    <cellStyle name="SAPBEXaggData" xfId="132"/>
    <cellStyle name="SAPBEXaggDataEmph" xfId="133"/>
    <cellStyle name="SAPBEXaggItem" xfId="134"/>
    <cellStyle name="SAPBEXaggItemX" xfId="135"/>
    <cellStyle name="SAPBEXexcBad7" xfId="136"/>
    <cellStyle name="SAPBEXexcBad8" xfId="137"/>
    <cellStyle name="SAPBEXexcBad9" xfId="138"/>
    <cellStyle name="SAPBEXexcCritical4" xfId="139"/>
    <cellStyle name="SAPBEXexcCritical5" xfId="140"/>
    <cellStyle name="SAPBEXexcCritical6" xfId="141"/>
    <cellStyle name="SAPBEXexcGood1" xfId="142"/>
    <cellStyle name="SAPBEXexcGood2" xfId="143"/>
    <cellStyle name="SAPBEXexcGood3" xfId="144"/>
    <cellStyle name="SAPBEXfilterDrill" xfId="145"/>
    <cellStyle name="SAPBEXFilterInfo1" xfId="146"/>
    <cellStyle name="SAPBEXFilterInfo2" xfId="147"/>
    <cellStyle name="SAPBEXFilterInfoHlavicka" xfId="148"/>
    <cellStyle name="SAPBEXfilterItem" xfId="149"/>
    <cellStyle name="SAPBEXfilterText" xfId="150"/>
    <cellStyle name="SAPBEXformats" xfId="151"/>
    <cellStyle name="SAPBEXheaderItem" xfId="152"/>
    <cellStyle name="SAPBEXheaderText" xfId="153"/>
    <cellStyle name="SAPBEXHLevel0" xfId="154"/>
    <cellStyle name="SAPBEXHLevel0X" xfId="155"/>
    <cellStyle name="SAPBEXHLevel1" xfId="156"/>
    <cellStyle name="SAPBEXHLevel1X" xfId="157"/>
    <cellStyle name="SAPBEXHLevel2" xfId="158"/>
    <cellStyle name="SAPBEXHLevel2X" xfId="159"/>
    <cellStyle name="SAPBEXHLevel3" xfId="160"/>
    <cellStyle name="SAPBEXHLevel3X" xfId="161"/>
    <cellStyle name="SAPBEXchaText" xfId="162"/>
    <cellStyle name="SAPBEXinputData" xfId="163"/>
    <cellStyle name="SAPBEXItemHeader" xfId="164"/>
    <cellStyle name="SAPBEXresData" xfId="165"/>
    <cellStyle name="SAPBEXresDataEmph" xfId="166"/>
    <cellStyle name="SAPBEXresItem" xfId="167"/>
    <cellStyle name="SAPBEXresItemX" xfId="168"/>
    <cellStyle name="SAPBEXstdData" xfId="169"/>
    <cellStyle name="SAPBEXstdDataEmph" xfId="170"/>
    <cellStyle name="SAPBEXstdItem" xfId="171"/>
    <cellStyle name="SAPBEXstdItemX" xfId="172"/>
    <cellStyle name="SAPBEXtitle" xfId="173"/>
    <cellStyle name="SAPBEXunassignedItem" xfId="174"/>
    <cellStyle name="SAPBEXundefined" xfId="175"/>
    <cellStyle name="Sheet Title" xfId="176"/>
    <cellStyle name="Správně" xfId="177"/>
    <cellStyle name="Text upozornění" xfId="178"/>
    <cellStyle name="Title" xfId="179"/>
    <cellStyle name="Total" xfId="180"/>
    <cellStyle name="Vstup" xfId="181"/>
    <cellStyle name="Výpočet" xfId="182"/>
    <cellStyle name="Výstup" xfId="183"/>
    <cellStyle name="Vysvětlující text" xfId="184"/>
    <cellStyle name="Warning Text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_Tabulka k sociálním mandatorním výdajům - podle kapitol- aktualizace 28 5 2014" xfId="192"/>
    <cellStyle name="Normální 3" xfId="193"/>
    <cellStyle name="Název 2" xfId="194"/>
    <cellStyle name="Nadpis 1 2" xfId="195"/>
    <cellStyle name="Nadpis 2 2" xfId="196"/>
    <cellStyle name="Nadpis 3 2" xfId="197"/>
    <cellStyle name="Nadpis 4 2" xfId="198"/>
    <cellStyle name="Správně 2" xfId="199"/>
    <cellStyle name="Chybně 2" xfId="200"/>
    <cellStyle name="Neutrální 2" xfId="201"/>
    <cellStyle name="Vstup 2" xfId="202"/>
    <cellStyle name="Výstup 2" xfId="203"/>
    <cellStyle name="Výpočet 2" xfId="204"/>
    <cellStyle name="Propojená buňka 2" xfId="205"/>
    <cellStyle name="Kontrolní buňka 2" xfId="206"/>
    <cellStyle name="Text upozornění 2" xfId="207"/>
    <cellStyle name="Poznámka 2" xfId="208"/>
    <cellStyle name="Vysvětlující text 2" xfId="209"/>
    <cellStyle name="Celkem 2" xfId="210"/>
    <cellStyle name="Zvýraznění 1 2" xfId="211"/>
    <cellStyle name="20 % – Zvýraznění1 2" xfId="212"/>
    <cellStyle name="40 % – Zvýraznění1 2" xfId="213"/>
    <cellStyle name="60 % – Zvýraznění1 2" xfId="214"/>
    <cellStyle name="Zvýraznění 2 2" xfId="215"/>
    <cellStyle name="20 % – Zvýraznění2 2" xfId="216"/>
    <cellStyle name="40 % – Zvýraznění2 2" xfId="217"/>
    <cellStyle name="60 % – Zvýraznění2 2" xfId="218"/>
    <cellStyle name="Zvýraznění 3 2" xfId="219"/>
    <cellStyle name="20 % – Zvýraznění3 2" xfId="220"/>
    <cellStyle name="40 % – Zvýraznění3 2" xfId="221"/>
    <cellStyle name="60 % – Zvýraznění3 2" xfId="222"/>
    <cellStyle name="Zvýraznění 4 2" xfId="223"/>
    <cellStyle name="20 % – Zvýraznění4 2" xfId="224"/>
    <cellStyle name="40 % – Zvýraznění4 2" xfId="225"/>
    <cellStyle name="60 % – Zvýraznění4 2" xfId="226"/>
    <cellStyle name="Zvýraznění 5 2" xfId="227"/>
    <cellStyle name="20 % – Zvýraznění5 2" xfId="228"/>
    <cellStyle name="40 % – Zvýraznění5 2" xfId="229"/>
    <cellStyle name="60 % – Zvýraznění5 2" xfId="230"/>
    <cellStyle name="Zvýraznění 6 2" xfId="231"/>
    <cellStyle name="20 % – Zvýraznění6 2" xfId="232"/>
    <cellStyle name="40 % – Zvýraznění6 2" xfId="233"/>
    <cellStyle name="60 % – Zvýraznění6 2" xfId="234"/>
    <cellStyle name="normální_změny od SDV 2011-2012 v PSP 2009" xfId="235"/>
    <cellStyle name="normální_Formulář 2 6 - předáno 12 10 2007 (3)" xfId="236"/>
    <cellStyle name="normální_Vzor RO" xfId="237"/>
    <cellStyle name="normální_Návrh nové tabulky 1_6 vyhlášky 165_2008_25_02_2013" xfId="238"/>
    <cellStyle name="normální_344 ÚPV Hejný NR 2012" xfId="239"/>
    <cellStyle name="Čárka" xfId="24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externalLink" Target="externalLinks/externalLink2.xml" /><Relationship Id="rId25" Type="http://schemas.openxmlformats.org/officeDocument/2006/relationships/externalLink" Target="externalLinks/externalLink3.xml" /><Relationship Id="rId26" Type="http://schemas.openxmlformats.org/officeDocument/2006/relationships/externalLink" Target="externalLinks/externalLink4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styles" Target="styles.xml" /><Relationship Id="rId22" Type="http://schemas.openxmlformats.org/officeDocument/2006/relationships/sharedStrings" Target="sharedStrings.xml" /><Relationship Id="rId23" Type="http://schemas.openxmlformats.org/officeDocument/2006/relationships/externalLink" Target="externalLinks/externalLink1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WINDOWS\TEMP\odd142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CUME~1\bakesk\LOCALS~1\Temp\Pril.c.4-2003%20(6.9.2002)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kumenty\2006\Parlament\Schv&#225;len&#253;%20MF%2003%20SR-2006-p&#345;&#237;loha%204%20z&#225;kona(9.12)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áv.uk,.KP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comments" Target="../comments11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comments" Target="../comments7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tabSelected="1" zoomScale="86" zoomScaleNormal="86" workbookViewId="0" topLeftCell="A1">
      <selection pane="topLeft" activeCell="B18" sqref="B18"/>
    </sheetView>
  </sheetViews>
  <sheetFormatPr defaultRowHeight="12.75"/>
  <cols>
    <col min="1" max="1" width="23.2857142857143" customWidth="1"/>
    <col min="2" max="2" width="151" customWidth="1"/>
    <col min="3" max="3" width="3" customWidth="1"/>
  </cols>
  <sheetData>
    <row r="1" s="96" customFormat="1" ht="12.75"/>
    <row r="2" spans="1:9" s="96" customFormat="1" ht="20.25">
      <c r="A2" s="547" t="s">
        <v>73</v>
      </c>
      <c r="B2" s="547"/>
      <c r="C2" s="97"/>
      <c r="D2" s="97"/>
      <c r="E2" s="97"/>
      <c r="F2" s="97"/>
      <c r="G2" s="97"/>
      <c r="H2" s="97"/>
      <c r="I2" s="97"/>
    </row>
    <row r="3" spans="1:9" s="96" customFormat="1" ht="20.25">
      <c r="A3" s="547" t="s">
        <v>74</v>
      </c>
      <c r="B3" s="547"/>
      <c r="C3" s="97"/>
      <c r="D3" s="97"/>
      <c r="E3" s="97"/>
      <c r="F3" s="97"/>
      <c r="G3" s="97"/>
      <c r="H3" s="97"/>
      <c r="I3" s="97"/>
    </row>
    <row r="4" spans="1:2" s="96" customFormat="1" ht="15.75">
      <c r="A4" s="98"/>
      <c r="B4" s="80"/>
    </row>
    <row r="5" spans="1:2" s="96" customFormat="1" ht="20.25">
      <c r="A5" s="99" t="s">
        <v>75</v>
      </c>
      <c r="B5" s="99" t="s">
        <v>181</v>
      </c>
    </row>
    <row r="6" spans="1:2" s="96" customFormat="1" ht="20.25">
      <c r="A6" s="99"/>
      <c r="B6" s="99"/>
    </row>
    <row r="7" spans="1:2" s="96" customFormat="1" ht="20.25">
      <c r="A7" s="99" t="s">
        <v>76</v>
      </c>
      <c r="B7" s="99" t="s">
        <v>182</v>
      </c>
    </row>
    <row r="8" spans="1:2" s="96" customFormat="1" ht="20.25">
      <c r="A8" s="99"/>
      <c r="B8" s="99"/>
    </row>
    <row r="9" spans="1:2" s="96" customFormat="1" ht="20.25">
      <c r="A9" s="99" t="s">
        <v>77</v>
      </c>
      <c r="B9" s="99" t="s">
        <v>183</v>
      </c>
    </row>
    <row r="10" spans="1:2" s="96" customFormat="1" ht="20.25">
      <c r="A10" s="99"/>
      <c r="B10" s="99"/>
    </row>
    <row r="11" spans="1:2" s="96" customFormat="1" ht="20.25">
      <c r="A11" s="99" t="s">
        <v>130</v>
      </c>
      <c r="B11" s="99" t="s">
        <v>184</v>
      </c>
    </row>
    <row r="12" spans="1:2" s="96" customFormat="1" ht="20.25">
      <c r="A12" s="99"/>
      <c r="B12" s="99"/>
    </row>
    <row r="13" spans="1:2" s="96" customFormat="1" ht="20.25">
      <c r="A13" s="99" t="s">
        <v>131</v>
      </c>
      <c r="B13" s="99" t="s">
        <v>194</v>
      </c>
    </row>
    <row r="14" spans="1:2" s="96" customFormat="1" ht="20.25">
      <c r="A14" s="99"/>
      <c r="B14" s="99"/>
    </row>
    <row r="15" spans="1:2" s="96" customFormat="1" ht="20.25">
      <c r="A15" s="99" t="s">
        <v>128</v>
      </c>
      <c r="B15" s="99" t="s">
        <v>185</v>
      </c>
    </row>
    <row r="16" spans="1:2" ht="20.25">
      <c r="A16" s="83"/>
      <c r="B16" s="83"/>
    </row>
    <row r="17" spans="1:2" ht="40.5">
      <c r="A17" s="83" t="s">
        <v>132</v>
      </c>
      <c r="B17" s="84" t="s">
        <v>186</v>
      </c>
    </row>
    <row r="18" spans="1:2" ht="20.25">
      <c r="A18" s="83"/>
      <c r="B18" s="83"/>
    </row>
    <row r="19" spans="1:2" ht="40.5">
      <c r="A19" s="83" t="s">
        <v>79</v>
      </c>
      <c r="B19" s="84" t="s">
        <v>187</v>
      </c>
    </row>
    <row r="20" spans="1:2" ht="20.25">
      <c r="A20" s="83"/>
      <c r="B20" s="83"/>
    </row>
    <row r="21" spans="1:2" ht="20.25">
      <c r="A21" s="83" t="s">
        <v>62</v>
      </c>
      <c r="B21" s="83" t="s">
        <v>188</v>
      </c>
    </row>
    <row r="22" spans="1:2" ht="20.25">
      <c r="A22" s="83"/>
      <c r="B22" s="83"/>
    </row>
    <row r="23" spans="1:2" ht="20.25">
      <c r="A23" s="83" t="s">
        <v>60</v>
      </c>
      <c r="B23" s="83" t="s">
        <v>189</v>
      </c>
    </row>
    <row r="24" spans="1:2" ht="20.25">
      <c r="A24" s="83"/>
      <c r="B24" s="83"/>
    </row>
    <row r="25" spans="1:2" ht="40.5">
      <c r="A25" s="83" t="s">
        <v>61</v>
      </c>
      <c r="B25" s="84" t="s">
        <v>190</v>
      </c>
    </row>
    <row r="26" spans="1:2" ht="20.25">
      <c r="A26" s="83"/>
      <c r="B26" s="83"/>
    </row>
    <row r="27" spans="1:2" ht="40.5">
      <c r="A27" s="83" t="s">
        <v>135</v>
      </c>
      <c r="B27" s="84" t="s">
        <v>191</v>
      </c>
    </row>
    <row r="28" spans="1:2" ht="20.25">
      <c r="A28" s="83"/>
      <c r="B28" s="83"/>
    </row>
    <row r="29" spans="1:2" ht="40.5">
      <c r="A29" s="99" t="s">
        <v>133</v>
      </c>
      <c r="B29" s="241" t="s">
        <v>180</v>
      </c>
    </row>
    <row r="30" spans="1:2" ht="20.25">
      <c r="A30" s="99"/>
      <c r="B30" s="99"/>
    </row>
    <row r="31" spans="1:2" ht="60.75">
      <c r="A31" s="99" t="s">
        <v>134</v>
      </c>
      <c r="B31" s="241" t="s">
        <v>192</v>
      </c>
    </row>
    <row r="32" spans="1:2" ht="20.25">
      <c r="A32" s="99"/>
      <c r="B32" s="99"/>
    </row>
    <row r="33" spans="1:2" ht="40.5">
      <c r="A33" s="99" t="s">
        <v>138</v>
      </c>
      <c r="B33" s="241" t="s">
        <v>322</v>
      </c>
    </row>
    <row r="34" spans="1:2" ht="20.25">
      <c r="A34" s="83"/>
      <c r="B34" s="83"/>
    </row>
    <row r="35" spans="1:2" ht="20.25">
      <c r="A35" s="83" t="s">
        <v>136</v>
      </c>
      <c r="B35" s="83" t="s">
        <v>161</v>
      </c>
    </row>
    <row r="36" spans="1:2" ht="20.25">
      <c r="A36" s="83"/>
      <c r="B36" s="83"/>
    </row>
    <row r="37" spans="1:2" ht="20.25">
      <c r="A37" s="83" t="s">
        <v>137</v>
      </c>
      <c r="B37" s="83" t="s">
        <v>151</v>
      </c>
    </row>
    <row r="38" spans="1:2" ht="20.25">
      <c r="A38" s="83" t="s">
        <v>80</v>
      </c>
      <c r="B38" s="83"/>
    </row>
    <row r="39" spans="1:2" ht="20.25">
      <c r="A39" s="83" t="s">
        <v>146</v>
      </c>
      <c r="B39" s="83" t="s">
        <v>193</v>
      </c>
    </row>
  </sheetData>
  <mergeCells count="2">
    <mergeCell ref="A2:B2"/>
    <mergeCell ref="A3:B3"/>
  </mergeCells>
  <pageMargins left="0.7" right="0.54" top="0.984251968503937" bottom="0.984251968503937" header="0.511811023622047" footer="0.511811023622047"/>
  <pageSetup orientation="portrait" paperSize="9" scale="57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103" zoomScaleNormal="103" workbookViewId="0" topLeftCell="A1">
      <pane xSplit="3" ySplit="5" topLeftCell="L16" activePane="bottomRight" state="frozen"/>
      <selection pane="topLeft" activeCell="O45" sqref="O45"/>
      <selection pane="bottomLeft" activeCell="O45" sqref="O45"/>
      <selection pane="topRight" activeCell="O45" sqref="O45"/>
      <selection pane="bottomRight" activeCell="U40" sqref="U40"/>
    </sheetView>
  </sheetViews>
  <sheetFormatPr defaultColWidth="10.6640625" defaultRowHeight="12.75"/>
  <cols>
    <col min="1" max="1" width="10.8571428571429" style="100" customWidth="1"/>
    <col min="2" max="2" width="54.5714285714286" style="100" customWidth="1"/>
    <col min="3" max="3" width="10.2857142857143" style="101" customWidth="1"/>
    <col min="4" max="4" width="0" style="100" hidden="1" customWidth="1"/>
    <col min="5" max="5" width="0" style="100" hidden="1" customWidth="1"/>
    <col min="6" max="7" width="0" style="100" hidden="1" customWidth="1"/>
    <col min="8" max="9" width="17.2857142857143" style="100" customWidth="1"/>
    <col min="10" max="11" width="17.5714285714286" style="100" customWidth="1"/>
    <col min="12" max="12" width="17.5714285714286" style="100" bestFit="1" customWidth="1"/>
    <col min="13" max="15" width="17.2857142857143" style="100" customWidth="1"/>
    <col min="16" max="16" width="10.5714285714286" style="100" customWidth="1"/>
    <col min="17" max="17" width="10.1428571428571" style="100" customWidth="1"/>
    <col min="18" max="18" width="10.2857142857143" style="100" customWidth="1"/>
    <col min="19" max="16384" width="10.7142857142857" style="100"/>
  </cols>
  <sheetData>
    <row r="1" spans="7:14" ht="12.75">
      <c r="G1" s="102"/>
      <c r="J1" s="261"/>
      <c r="K1" s="131"/>
      <c r="N1" s="100" t="s">
        <v>62</v>
      </c>
    </row>
    <row r="2" spans="2:10" ht="15.75">
      <c r="B2" s="182" t="s">
        <v>177</v>
      </c>
      <c r="J2" s="262"/>
    </row>
    <row r="3" spans="10:15" ht="13.5" thickBot="1">
      <c r="J3" s="262"/>
      <c r="O3" s="100" t="s">
        <v>1</v>
      </c>
    </row>
    <row r="4" spans="1:18" ht="51" customHeight="1" thickBot="1">
      <c r="A4" s="103"/>
      <c r="B4" s="104" t="s">
        <v>85</v>
      </c>
      <c r="C4" s="104" t="s">
        <v>66</v>
      </c>
      <c r="D4" s="105" t="s">
        <v>82</v>
      </c>
      <c r="E4" s="105" t="s">
        <v>64</v>
      </c>
      <c r="F4" s="105" t="s">
        <v>83</v>
      </c>
      <c r="G4" s="105" t="s">
        <v>81</v>
      </c>
      <c r="H4" s="105" t="s">
        <v>84</v>
      </c>
      <c r="I4" s="105" t="s">
        <v>142</v>
      </c>
      <c r="J4" s="105" t="s">
        <v>149</v>
      </c>
      <c r="K4" s="105" t="s">
        <v>165</v>
      </c>
      <c r="L4" s="259">
        <v>2019</v>
      </c>
      <c r="M4" s="259">
        <v>2020</v>
      </c>
      <c r="N4" s="259">
        <v>2021</v>
      </c>
      <c r="O4" s="331">
        <v>2022</v>
      </c>
      <c r="P4" s="568" t="s">
        <v>179</v>
      </c>
      <c r="Q4" s="569"/>
      <c r="R4" s="570"/>
    </row>
    <row r="5" spans="1:18" ht="14.25" thickTop="1" thickBot="1">
      <c r="A5" s="106"/>
      <c r="B5" s="107"/>
      <c r="C5" s="108"/>
      <c r="D5" s="108">
        <v>1</v>
      </c>
      <c r="E5" s="108">
        <v>2</v>
      </c>
      <c r="F5" s="108">
        <v>3</v>
      </c>
      <c r="G5" s="108"/>
      <c r="H5" s="108"/>
      <c r="I5" s="108"/>
      <c r="J5" s="109"/>
      <c r="K5" s="109"/>
      <c r="L5" s="109"/>
      <c r="M5" s="260"/>
      <c r="N5" s="329"/>
      <c r="O5" s="346"/>
      <c r="P5" s="505" t="s">
        <v>154</v>
      </c>
      <c r="Q5" s="340" t="s">
        <v>155</v>
      </c>
      <c r="R5" s="334" t="s">
        <v>178</v>
      </c>
    </row>
    <row r="6" spans="1:18" ht="13.5" thickBot="1">
      <c r="A6" s="110" t="s">
        <v>86</v>
      </c>
      <c r="B6" s="111" t="s">
        <v>87</v>
      </c>
      <c r="C6" s="112"/>
      <c r="D6" s="113">
        <f t="shared" si="0" ref="D6:G6">D7+D12+D19+D20+D21+D22+D23+D24+D25+D32</f>
        <v>469399719573.37988</v>
      </c>
      <c r="E6" s="113">
        <f t="shared" si="0"/>
        <v>481250369080.19012</v>
      </c>
      <c r="F6" s="113">
        <f t="shared" si="0"/>
        <v>490292741459.32996</v>
      </c>
      <c r="G6" s="113">
        <f t="shared" si="0"/>
        <v>496964512122</v>
      </c>
      <c r="H6" s="113">
        <f t="shared" si="1" ref="H6:O6">H7+H12+H19+H20+H21+H22+H23+H24+H25+H31</f>
        <v>507493973980.64001</v>
      </c>
      <c r="I6" s="113">
        <f t="shared" si="1"/>
        <v>514266985713.56</v>
      </c>
      <c r="J6" s="113">
        <f t="shared" si="1"/>
        <v>531054715056.02008</v>
      </c>
      <c r="K6" s="113">
        <f t="shared" si="1"/>
        <v>557870421246</v>
      </c>
      <c r="L6" s="113">
        <f t="shared" si="1"/>
        <v>603357002681</v>
      </c>
      <c r="M6" s="113">
        <f t="shared" si="1"/>
        <v>655264974855</v>
      </c>
      <c r="N6" s="113">
        <f t="shared" si="1"/>
        <v>685214715311</v>
      </c>
      <c r="O6" s="218">
        <f t="shared" si="1"/>
        <v>706412173374</v>
      </c>
      <c r="P6" s="506">
        <f>IF(L6=0," ",IF(L6&gt;0,ROUND(M6/L6*100,1)))</f>
        <v>108.60</v>
      </c>
      <c r="Q6" s="339">
        <f>IF(M6=0," ",IF(M6&gt;0,ROUND(N6/M6*100,1)))</f>
        <v>104.60</v>
      </c>
      <c r="R6" s="507">
        <f>IF(N6=0," ",IF(N6&gt;0,ROUND(O6/N6*100,1)))</f>
        <v>103.10</v>
      </c>
    </row>
    <row r="7" spans="1:18" ht="12.75">
      <c r="A7" s="115" t="s">
        <v>88</v>
      </c>
      <c r="B7" s="116" t="s">
        <v>89</v>
      </c>
      <c r="C7" s="117" t="s">
        <v>46</v>
      </c>
      <c r="D7" s="118">
        <f t="shared" si="2" ref="D7:O7">D9+D8+D10+D11</f>
        <v>368068832084.95996</v>
      </c>
      <c r="E7" s="118">
        <f t="shared" si="2"/>
        <v>382031342635.75006</v>
      </c>
      <c r="F7" s="118">
        <f t="shared" si="2"/>
        <v>382772733190.01996</v>
      </c>
      <c r="G7" s="118">
        <f t="shared" si="2"/>
        <v>386149634884</v>
      </c>
      <c r="H7" s="118">
        <f>H9+H8+H10+H11</f>
        <v>395507168030.16003</v>
      </c>
      <c r="I7" s="118">
        <f>I9+I8+I10+I11</f>
        <v>399264754866.91998</v>
      </c>
      <c r="J7" s="118">
        <f t="shared" si="3" ref="J7:K7">J9+J8+J10+J11</f>
        <v>414653205206.69006</v>
      </c>
      <c r="K7" s="118">
        <f t="shared" si="3"/>
        <v>434083026158</v>
      </c>
      <c r="L7" s="119">
        <f t="shared" si="2"/>
        <v>472468914957</v>
      </c>
      <c r="M7" s="118">
        <f t="shared" si="2"/>
        <v>509352646000</v>
      </c>
      <c r="N7" s="330">
        <f t="shared" si="2"/>
        <v>536312395000</v>
      </c>
      <c r="O7" s="219">
        <f t="shared" si="2"/>
        <v>553669212000</v>
      </c>
      <c r="P7" s="508">
        <f t="shared" si="4" ref="P7:P41">IF(L7=0," ",IF(L7&gt;0,ROUND(M7/L7*100,1)))</f>
        <v>107.80</v>
      </c>
      <c r="Q7" s="337">
        <f t="shared" si="5" ref="Q7:R41">IF(M7=0," ",IF(M7&gt;0,ROUND(N7/M7*100,1)))</f>
        <v>105.30</v>
      </c>
      <c r="R7" s="509">
        <f t="shared" si="5"/>
        <v>103.20</v>
      </c>
    </row>
    <row r="8" spans="1:18" ht="12.75">
      <c r="A8" s="115"/>
      <c r="B8" s="120"/>
      <c r="C8" s="121" t="s">
        <v>67</v>
      </c>
      <c r="D8" s="122">
        <v>4060050482.6599998</v>
      </c>
      <c r="E8" s="122">
        <v>4157922326.1500001</v>
      </c>
      <c r="F8" s="122">
        <v>4151977225.8600001</v>
      </c>
      <c r="G8" s="122">
        <v>4150985138</v>
      </c>
      <c r="H8" s="122">
        <v>4210758307.5999999</v>
      </c>
      <c r="I8" s="122">
        <v>4203736221.3499999</v>
      </c>
      <c r="J8" s="122">
        <v>4258226221.8200002</v>
      </c>
      <c r="K8" s="122">
        <v>4358421768</v>
      </c>
      <c r="L8" s="122">
        <v>4665000000</v>
      </c>
      <c r="M8" s="122">
        <v>5071000000</v>
      </c>
      <c r="N8" s="122">
        <v>5247000000</v>
      </c>
      <c r="O8" s="220">
        <v>5400000000</v>
      </c>
      <c r="P8" s="510">
        <f t="shared" si="4"/>
        <v>108.70</v>
      </c>
      <c r="Q8" s="338">
        <f t="shared" si="5"/>
        <v>103.50</v>
      </c>
      <c r="R8" s="511">
        <f t="shared" si="5"/>
        <v>102.90</v>
      </c>
    </row>
    <row r="9" spans="1:18" ht="12.75">
      <c r="A9" s="115"/>
      <c r="B9" s="120"/>
      <c r="C9" s="121" t="s">
        <v>69</v>
      </c>
      <c r="D9" s="122">
        <v>359098199259.67999</v>
      </c>
      <c r="E9" s="122">
        <v>372752587725.95001</v>
      </c>
      <c r="F9" s="122">
        <v>373434993240.04999</v>
      </c>
      <c r="G9" s="122">
        <v>376711270593</v>
      </c>
      <c r="H9" s="122">
        <v>385808092117.45001</v>
      </c>
      <c r="I9" s="122">
        <v>389457407317.81</v>
      </c>
      <c r="J9" s="122">
        <v>404627324047.78003</v>
      </c>
      <c r="K9" s="122">
        <v>423717100037</v>
      </c>
      <c r="L9" s="122">
        <v>461328558457</v>
      </c>
      <c r="M9" s="122">
        <v>497300000000</v>
      </c>
      <c r="N9" s="122">
        <v>523700000000</v>
      </c>
      <c r="O9" s="220">
        <v>540500000000</v>
      </c>
      <c r="P9" s="510">
        <f t="shared" si="4"/>
        <v>107.80</v>
      </c>
      <c r="Q9" s="338">
        <f t="shared" si="5"/>
        <v>105.30</v>
      </c>
      <c r="R9" s="511">
        <f t="shared" si="5"/>
        <v>103.20</v>
      </c>
    </row>
    <row r="10" spans="1:18" ht="12.75">
      <c r="A10" s="115"/>
      <c r="B10" s="120"/>
      <c r="C10" s="121" t="s">
        <v>70</v>
      </c>
      <c r="D10" s="122">
        <v>4334339869.6199999</v>
      </c>
      <c r="E10" s="122">
        <v>4516600044.6499996</v>
      </c>
      <c r="F10" s="122">
        <v>4567710051.1400003</v>
      </c>
      <c r="G10" s="122">
        <v>4656644442</v>
      </c>
      <c r="H10" s="122">
        <v>4837976740.0299997</v>
      </c>
      <c r="I10" s="122">
        <v>4943044814.1999998</v>
      </c>
      <c r="J10" s="122">
        <v>5090235331.0299997</v>
      </c>
      <c r="K10" s="122">
        <v>5299829645</v>
      </c>
      <c r="L10" s="122">
        <v>5728053000</v>
      </c>
      <c r="M10" s="122">
        <v>6156373000</v>
      </c>
      <c r="N10" s="122">
        <v>6494895000</v>
      </c>
      <c r="O10" s="220">
        <v>6850812000</v>
      </c>
      <c r="P10" s="510">
        <f t="shared" si="4"/>
        <v>107.50</v>
      </c>
      <c r="Q10" s="338">
        <f t="shared" si="5"/>
        <v>105.50</v>
      </c>
      <c r="R10" s="511">
        <f t="shared" si="5"/>
        <v>105.50</v>
      </c>
    </row>
    <row r="11" spans="1:18" ht="12.75">
      <c r="A11" s="115"/>
      <c r="B11" s="120"/>
      <c r="C11" s="121" t="s">
        <v>90</v>
      </c>
      <c r="D11" s="122">
        <v>576242473</v>
      </c>
      <c r="E11" s="122">
        <v>604232539</v>
      </c>
      <c r="F11" s="122">
        <v>618052672.96999991</v>
      </c>
      <c r="G11" s="204">
        <v>630734711</v>
      </c>
      <c r="H11" s="122">
        <v>650340865.08000004</v>
      </c>
      <c r="I11" s="122">
        <v>660566513.55999994</v>
      </c>
      <c r="J11" s="122">
        <v>677419606.05999994</v>
      </c>
      <c r="K11" s="122">
        <v>707674708</v>
      </c>
      <c r="L11" s="122">
        <v>747303500</v>
      </c>
      <c r="M11" s="122">
        <v>825273000</v>
      </c>
      <c r="N11" s="122">
        <v>870500000</v>
      </c>
      <c r="O11" s="220">
        <v>918400000</v>
      </c>
      <c r="P11" s="510">
        <f t="shared" si="4"/>
        <v>110.40</v>
      </c>
      <c r="Q11" s="338">
        <f t="shared" si="5"/>
        <v>105.50</v>
      </c>
      <c r="R11" s="511">
        <f t="shared" si="5"/>
        <v>105.50</v>
      </c>
    </row>
    <row r="12" spans="1:18" ht="12.75">
      <c r="A12" s="123" t="s">
        <v>91</v>
      </c>
      <c r="B12" s="211" t="s">
        <v>92</v>
      </c>
      <c r="C12" s="221" t="s">
        <v>46</v>
      </c>
      <c r="D12" s="210">
        <f t="shared" si="6" ref="D12:O12">D15+D13+D16+D17+D14+D18</f>
        <v>21734233067.360001</v>
      </c>
      <c r="E12" s="210">
        <f t="shared" si="6"/>
        <v>19601791894.580002</v>
      </c>
      <c r="F12" s="210">
        <f t="shared" si="6"/>
        <v>20349879405.939999</v>
      </c>
      <c r="G12" s="210">
        <f t="shared" si="6"/>
        <v>22283373771</v>
      </c>
      <c r="H12" s="210">
        <f t="shared" si="6"/>
        <v>24324879880.919998</v>
      </c>
      <c r="I12" s="210">
        <f t="shared" si="6"/>
        <v>26505788593.68</v>
      </c>
      <c r="J12" s="210">
        <f t="shared" si="6"/>
        <v>28569405536.52</v>
      </c>
      <c r="K12" s="210">
        <f t="shared" si="6"/>
        <v>34261073982</v>
      </c>
      <c r="L12" s="210">
        <f t="shared" si="6"/>
        <v>36494991000</v>
      </c>
      <c r="M12" s="210">
        <f t="shared" si="6"/>
        <v>40636547000</v>
      </c>
      <c r="N12" s="210">
        <f t="shared" si="6"/>
        <v>42439239000</v>
      </c>
      <c r="O12" s="222">
        <f t="shared" si="6"/>
        <v>43945030000</v>
      </c>
      <c r="P12" s="510">
        <f t="shared" si="4"/>
        <v>111.30</v>
      </c>
      <c r="Q12" s="338">
        <f t="shared" si="5"/>
        <v>104.40</v>
      </c>
      <c r="R12" s="511">
        <f t="shared" si="5"/>
        <v>103.50</v>
      </c>
    </row>
    <row r="13" spans="1:18" ht="12.75">
      <c r="A13" s="123"/>
      <c r="B13" s="223"/>
      <c r="C13" s="224" t="s">
        <v>67</v>
      </c>
      <c r="D13" s="204">
        <v>50010883</v>
      </c>
      <c r="E13" s="204">
        <v>50759125</v>
      </c>
      <c r="F13" s="204">
        <v>43201386</v>
      </c>
      <c r="G13" s="204">
        <v>44727895</v>
      </c>
      <c r="H13" s="204">
        <v>45055890</v>
      </c>
      <c r="I13" s="204">
        <v>45591004</v>
      </c>
      <c r="J13" s="204">
        <v>62140101</v>
      </c>
      <c r="K13" s="204">
        <v>68058403</v>
      </c>
      <c r="L13" s="204">
        <v>65000000</v>
      </c>
      <c r="M13" s="204">
        <v>74000000</v>
      </c>
      <c r="N13" s="204">
        <v>74000000</v>
      </c>
      <c r="O13" s="225">
        <v>76000000</v>
      </c>
      <c r="P13" s="510">
        <f t="shared" si="4"/>
        <v>113.80</v>
      </c>
      <c r="Q13" s="338">
        <f t="shared" si="5"/>
        <v>100</v>
      </c>
      <c r="R13" s="511">
        <f t="shared" si="5"/>
        <v>102.70</v>
      </c>
    </row>
    <row r="14" spans="1:18" ht="12.75">
      <c r="A14" s="123"/>
      <c r="B14" s="223"/>
      <c r="C14" s="224" t="s">
        <v>68</v>
      </c>
      <c r="D14" s="204">
        <v>14266909</v>
      </c>
      <c r="E14" s="204">
        <v>12357625</v>
      </c>
      <c r="F14" s="204">
        <v>13558549</v>
      </c>
      <c r="G14" s="206">
        <v>12832318</v>
      </c>
      <c r="H14" s="206">
        <v>12777784</v>
      </c>
      <c r="I14" s="206">
        <v>12561720</v>
      </c>
      <c r="J14" s="204">
        <v>13819889</v>
      </c>
      <c r="K14" s="204">
        <v>17165661</v>
      </c>
      <c r="L14" s="204">
        <v>16314000</v>
      </c>
      <c r="M14" s="204">
        <v>17314000</v>
      </c>
      <c r="N14" s="204">
        <v>17314000</v>
      </c>
      <c r="O14" s="225">
        <v>17314000</v>
      </c>
      <c r="P14" s="510">
        <f t="shared" si="4"/>
        <v>106.10</v>
      </c>
      <c r="Q14" s="338">
        <f t="shared" si="5"/>
        <v>100</v>
      </c>
      <c r="R14" s="511">
        <f t="shared" si="5"/>
        <v>100</v>
      </c>
    </row>
    <row r="15" spans="1:18" ht="12.75">
      <c r="A15" s="123"/>
      <c r="B15" s="223"/>
      <c r="C15" s="224" t="s">
        <v>69</v>
      </c>
      <c r="D15" s="204">
        <v>21505374222.360001</v>
      </c>
      <c r="E15" s="204">
        <v>19377138186.580002</v>
      </c>
      <c r="F15" s="204">
        <v>20143438097.939999</v>
      </c>
      <c r="G15" s="204">
        <v>22077237614</v>
      </c>
      <c r="H15" s="204">
        <v>24109948048.919998</v>
      </c>
      <c r="I15" s="204">
        <v>26283777194.68</v>
      </c>
      <c r="J15" s="204">
        <v>28315589255.52</v>
      </c>
      <c r="K15" s="204">
        <v>33973696808</v>
      </c>
      <c r="L15" s="204">
        <v>36200000000</v>
      </c>
      <c r="M15" s="204">
        <v>40300000000</v>
      </c>
      <c r="N15" s="204">
        <v>42100000000</v>
      </c>
      <c r="O15" s="225">
        <v>43600000000</v>
      </c>
      <c r="P15" s="510">
        <f t="shared" si="4"/>
        <v>111.30</v>
      </c>
      <c r="Q15" s="338">
        <f t="shared" si="5"/>
        <v>104.50</v>
      </c>
      <c r="R15" s="511">
        <f t="shared" si="5"/>
        <v>103.60</v>
      </c>
    </row>
    <row r="16" spans="1:18" ht="12.75">
      <c r="A16" s="123"/>
      <c r="B16" s="223"/>
      <c r="C16" s="224" t="s">
        <v>70</v>
      </c>
      <c r="D16" s="204">
        <v>146844630</v>
      </c>
      <c r="E16" s="204">
        <v>142930747</v>
      </c>
      <c r="F16" s="204">
        <v>131700654</v>
      </c>
      <c r="G16" s="204">
        <v>132447811</v>
      </c>
      <c r="H16" s="204">
        <v>138836821</v>
      </c>
      <c r="I16" s="204">
        <v>144632210</v>
      </c>
      <c r="J16" s="204">
        <v>157069266</v>
      </c>
      <c r="K16" s="204">
        <v>173632975</v>
      </c>
      <c r="L16" s="204">
        <v>191997000</v>
      </c>
      <c r="M16" s="204">
        <v>220433000</v>
      </c>
      <c r="N16" s="204">
        <v>223125000</v>
      </c>
      <c r="O16" s="225">
        <v>226916000</v>
      </c>
      <c r="P16" s="510">
        <f t="shared" si="4"/>
        <v>114.80</v>
      </c>
      <c r="Q16" s="338">
        <f t="shared" si="5"/>
        <v>101.20</v>
      </c>
      <c r="R16" s="511">
        <f t="shared" si="5"/>
        <v>101.70</v>
      </c>
    </row>
    <row r="17" spans="1:18" ht="12.75">
      <c r="A17" s="123"/>
      <c r="B17" s="223"/>
      <c r="C17" s="224" t="s">
        <v>90</v>
      </c>
      <c r="D17" s="204">
        <v>17736423</v>
      </c>
      <c r="E17" s="204">
        <v>18247382</v>
      </c>
      <c r="F17" s="204">
        <v>17500671</v>
      </c>
      <c r="G17" s="204">
        <v>15893999</v>
      </c>
      <c r="H17" s="204">
        <v>17901389</v>
      </c>
      <c r="I17" s="204">
        <v>18211461</v>
      </c>
      <c r="J17" s="204">
        <v>20407469</v>
      </c>
      <c r="K17" s="204">
        <v>27840151</v>
      </c>
      <c r="L17" s="204">
        <v>21000000</v>
      </c>
      <c r="M17" s="204">
        <v>24000000</v>
      </c>
      <c r="N17" s="204">
        <v>24000000</v>
      </c>
      <c r="O17" s="225">
        <v>24000000</v>
      </c>
      <c r="P17" s="510">
        <f t="shared" si="4"/>
        <v>114.30</v>
      </c>
      <c r="Q17" s="338">
        <f t="shared" si="5"/>
        <v>100</v>
      </c>
      <c r="R17" s="511">
        <f t="shared" si="5"/>
        <v>100</v>
      </c>
    </row>
    <row r="18" spans="1:18" ht="12.75">
      <c r="A18" s="123"/>
      <c r="B18" s="223"/>
      <c r="C18" s="224" t="s">
        <v>72</v>
      </c>
      <c r="D18" s="204"/>
      <c r="E18" s="204">
        <v>358829</v>
      </c>
      <c r="F18" s="204">
        <v>480048</v>
      </c>
      <c r="G18" s="204">
        <v>234134</v>
      </c>
      <c r="H18" s="204">
        <v>359948</v>
      </c>
      <c r="I18" s="204">
        <v>1015004</v>
      </c>
      <c r="J18" s="204">
        <v>379556</v>
      </c>
      <c r="K18" s="204">
        <v>679984</v>
      </c>
      <c r="L18" s="204">
        <v>680000</v>
      </c>
      <c r="M18" s="204">
        <v>800000</v>
      </c>
      <c r="N18" s="204">
        <v>800000</v>
      </c>
      <c r="O18" s="225">
        <v>800000</v>
      </c>
      <c r="P18" s="510">
        <f t="shared" si="4"/>
        <v>117.60</v>
      </c>
      <c r="Q18" s="338">
        <f t="shared" si="5"/>
        <v>100</v>
      </c>
      <c r="R18" s="511">
        <f t="shared" si="5"/>
        <v>100</v>
      </c>
    </row>
    <row r="19" spans="1:18" ht="12.75">
      <c r="A19" s="123" t="s">
        <v>93</v>
      </c>
      <c r="B19" s="211" t="s">
        <v>150</v>
      </c>
      <c r="C19" s="121"/>
      <c r="D19" s="211">
        <v>0</v>
      </c>
      <c r="E19" s="211">
        <v>0</v>
      </c>
      <c r="F19" s="211">
        <v>0</v>
      </c>
      <c r="G19" s="211"/>
      <c r="H19" s="211">
        <v>0</v>
      </c>
      <c r="I19" s="211">
        <v>0</v>
      </c>
      <c r="J19" s="205"/>
      <c r="K19" s="205"/>
      <c r="L19" s="205">
        <v>0</v>
      </c>
      <c r="M19" s="205">
        <v>0</v>
      </c>
      <c r="N19" s="205">
        <v>0</v>
      </c>
      <c r="O19" s="226">
        <v>0</v>
      </c>
      <c r="P19" s="510" t="str">
        <f t="shared" si="4"/>
        <v xml:space="preserve"> </v>
      </c>
      <c r="Q19" s="338" t="str">
        <f t="shared" si="5"/>
        <v xml:space="preserve"> </v>
      </c>
      <c r="R19" s="345"/>
    </row>
    <row r="20" spans="1:18" ht="12.75">
      <c r="A20" s="123" t="s">
        <v>94</v>
      </c>
      <c r="B20" s="211" t="s">
        <v>95</v>
      </c>
      <c r="C20" s="121" t="s">
        <v>69</v>
      </c>
      <c r="D20" s="205">
        <v>36094392320.050003</v>
      </c>
      <c r="E20" s="205">
        <v>35554336538.309998</v>
      </c>
      <c r="F20" s="205">
        <v>37891380921.279999</v>
      </c>
      <c r="G20" s="205">
        <f>29131433632+8938427964</f>
        <v>38069861596</v>
      </c>
      <c r="H20" s="205">
        <v>38252667058.970001</v>
      </c>
      <c r="I20" s="205">
        <v>38426948155.199997</v>
      </c>
      <c r="J20" s="205">
        <v>37884947589.169998</v>
      </c>
      <c r="K20" s="205">
        <f>32341789067+7799760059</f>
        <v>40141549126</v>
      </c>
      <c r="L20" s="205">
        <v>42905322182</v>
      </c>
      <c r="M20" s="205">
        <v>49406243829</v>
      </c>
      <c r="N20" s="205">
        <v>49252254873</v>
      </c>
      <c r="O20" s="226">
        <v>49969396710</v>
      </c>
      <c r="P20" s="510">
        <f t="shared" si="4"/>
        <v>115.20</v>
      </c>
      <c r="Q20" s="338">
        <f t="shared" si="5"/>
        <v>99.70</v>
      </c>
      <c r="R20" s="511">
        <f t="shared" si="5"/>
        <v>101.50</v>
      </c>
    </row>
    <row r="21" spans="1:18" ht="12.75">
      <c r="A21" s="123" t="s">
        <v>96</v>
      </c>
      <c r="B21" s="211" t="s">
        <v>97</v>
      </c>
      <c r="C21" s="121" t="s">
        <v>69</v>
      </c>
      <c r="D21" s="205">
        <v>10349149140.790001</v>
      </c>
      <c r="E21" s="205">
        <v>8759748516.2000008</v>
      </c>
      <c r="F21" s="205">
        <v>9674752177.9799995</v>
      </c>
      <c r="G21" s="205">
        <v>9279633774</v>
      </c>
      <c r="H21" s="205">
        <v>8303369893.3500004</v>
      </c>
      <c r="I21" s="205">
        <v>8254526903.2399998</v>
      </c>
      <c r="J21" s="205">
        <v>7853520225.2700005</v>
      </c>
      <c r="K21" s="205">
        <v>7542836824</v>
      </c>
      <c r="L21" s="205">
        <v>7300000000</v>
      </c>
      <c r="M21" s="205">
        <v>7600000000</v>
      </c>
      <c r="N21" s="205">
        <v>7700000000</v>
      </c>
      <c r="O21" s="226">
        <v>7700000000</v>
      </c>
      <c r="P21" s="510">
        <f t="shared" si="4"/>
        <v>104.10</v>
      </c>
      <c r="Q21" s="338">
        <f t="shared" si="5"/>
        <v>101.30</v>
      </c>
      <c r="R21" s="511">
        <f t="shared" si="5"/>
        <v>100</v>
      </c>
    </row>
    <row r="22" spans="1:18" ht="12.75">
      <c r="A22" s="123" t="s">
        <v>98</v>
      </c>
      <c r="B22" s="211" t="s">
        <v>99</v>
      </c>
      <c r="C22" s="121" t="s">
        <v>69</v>
      </c>
      <c r="D22" s="566">
        <v>7057169052</v>
      </c>
      <c r="E22" s="205">
        <v>7800122938.6300001</v>
      </c>
      <c r="F22" s="205">
        <v>10569830639.34</v>
      </c>
      <c r="G22" s="205">
        <v>11352019486</v>
      </c>
      <c r="H22" s="205">
        <v>10592490761.209999</v>
      </c>
      <c r="I22" s="205">
        <v>9346780902.0799999</v>
      </c>
      <c r="J22" s="205">
        <v>7499758383.4300003</v>
      </c>
      <c r="K22" s="205">
        <v>5426111983</v>
      </c>
      <c r="L22" s="205">
        <v>6629455542</v>
      </c>
      <c r="M22" s="205">
        <v>5550949419</v>
      </c>
      <c r="N22" s="205">
        <v>5658155265</v>
      </c>
      <c r="O22" s="226">
        <v>5700774982</v>
      </c>
      <c r="P22" s="510">
        <f t="shared" si="4"/>
        <v>83.70</v>
      </c>
      <c r="Q22" s="338">
        <f t="shared" si="5"/>
        <v>101.90</v>
      </c>
      <c r="R22" s="511">
        <f t="shared" si="5"/>
        <v>100.80</v>
      </c>
    </row>
    <row r="23" spans="1:18" ht="12.75">
      <c r="A23" s="123" t="s">
        <v>100</v>
      </c>
      <c r="B23" s="211" t="s">
        <v>101</v>
      </c>
      <c r="C23" s="121" t="s">
        <v>69</v>
      </c>
      <c r="D23" s="567"/>
      <c r="E23" s="205">
        <v>1532718143.9000001</v>
      </c>
      <c r="F23" s="205">
        <v>1940017055.23</v>
      </c>
      <c r="G23" s="205">
        <v>1943612243</v>
      </c>
      <c r="H23" s="205">
        <v>1975866231.8499999</v>
      </c>
      <c r="I23" s="205">
        <v>2045074284.3399999</v>
      </c>
      <c r="J23" s="205">
        <v>1997096725.8599999</v>
      </c>
      <c r="K23" s="205">
        <v>2666353824</v>
      </c>
      <c r="L23" s="205">
        <v>3000000000</v>
      </c>
      <c r="M23" s="205">
        <v>3100000000</v>
      </c>
      <c r="N23" s="205">
        <v>3100000000</v>
      </c>
      <c r="O23" s="226">
        <v>3185618604</v>
      </c>
      <c r="P23" s="510">
        <f t="shared" si="4"/>
        <v>103.30</v>
      </c>
      <c r="Q23" s="338">
        <f t="shared" si="5"/>
        <v>100</v>
      </c>
      <c r="R23" s="511">
        <f t="shared" si="5"/>
        <v>102.80</v>
      </c>
    </row>
    <row r="24" spans="1:18" ht="12.75">
      <c r="A24" s="123" t="s">
        <v>102</v>
      </c>
      <c r="B24" s="211" t="s">
        <v>103</v>
      </c>
      <c r="C24" s="121" t="s">
        <v>69</v>
      </c>
      <c r="D24" s="205">
        <v>18240905126</v>
      </c>
      <c r="E24" s="205">
        <v>18428327075</v>
      </c>
      <c r="F24" s="205">
        <v>19588778197.689999</v>
      </c>
      <c r="G24" s="205">
        <f>20406199999+35528889-115241</f>
        <v>20441613647</v>
      </c>
      <c r="H24" s="205">
        <v>21213131492.419998</v>
      </c>
      <c r="I24" s="205">
        <v>23104516120.099998</v>
      </c>
      <c r="J24" s="205">
        <v>25174334478.049999</v>
      </c>
      <c r="K24" s="205">
        <v>26067510214</v>
      </c>
      <c r="L24" s="205">
        <v>26600000000</v>
      </c>
      <c r="M24" s="205">
        <v>31300000000</v>
      </c>
      <c r="N24" s="205">
        <v>32200000000</v>
      </c>
      <c r="O24" s="226">
        <v>33400000000</v>
      </c>
      <c r="P24" s="510">
        <f t="shared" si="4"/>
        <v>117.70</v>
      </c>
      <c r="Q24" s="338">
        <f t="shared" si="5"/>
        <v>102.90</v>
      </c>
      <c r="R24" s="511">
        <f t="shared" si="5"/>
        <v>103.70</v>
      </c>
    </row>
    <row r="25" spans="1:18" ht="12.75">
      <c r="A25" s="123" t="s">
        <v>104</v>
      </c>
      <c r="B25" s="211" t="s">
        <v>105</v>
      </c>
      <c r="C25" s="117" t="s">
        <v>46</v>
      </c>
      <c r="D25" s="210">
        <f t="shared" si="7" ref="D25:O25">D26+D28+D29+D27+D30</f>
        <v>7852523646.29</v>
      </c>
      <c r="E25" s="210">
        <f t="shared" si="7"/>
        <v>7539867459.8199997</v>
      </c>
      <c r="F25" s="210">
        <f t="shared" si="7"/>
        <v>7503473823.1700001</v>
      </c>
      <c r="G25" s="210">
        <f t="shared" si="7"/>
        <v>7442956740</v>
      </c>
      <c r="H25" s="210">
        <f t="shared" si="7"/>
        <v>7322678346.5900002</v>
      </c>
      <c r="I25" s="210">
        <f t="shared" si="7"/>
        <v>7288382269</v>
      </c>
      <c r="J25" s="210">
        <f t="shared" si="7"/>
        <v>7420968258.0299997</v>
      </c>
      <c r="K25" s="210">
        <f t="shared" si="7"/>
        <v>7680602855</v>
      </c>
      <c r="L25" s="227">
        <f t="shared" si="7"/>
        <v>7956319000</v>
      </c>
      <c r="M25" s="210">
        <f t="shared" si="7"/>
        <v>8316588607</v>
      </c>
      <c r="N25" s="210">
        <f t="shared" si="7"/>
        <v>8550671173</v>
      </c>
      <c r="O25" s="222">
        <f t="shared" si="7"/>
        <v>8840141078</v>
      </c>
      <c r="P25" s="510">
        <f t="shared" si="4"/>
        <v>104.50</v>
      </c>
      <c r="Q25" s="338">
        <f t="shared" si="5"/>
        <v>102.80</v>
      </c>
      <c r="R25" s="511">
        <f t="shared" si="5"/>
        <v>103.40</v>
      </c>
    </row>
    <row r="26" spans="1:18" ht="12.75">
      <c r="A26" s="228"/>
      <c r="B26" s="229"/>
      <c r="C26" s="230" t="s">
        <v>67</v>
      </c>
      <c r="D26" s="206">
        <f>2727520670-D13</f>
        <v>2677509787</v>
      </c>
      <c r="E26" s="206">
        <f>2667834885-50759125</f>
        <v>2617075760</v>
      </c>
      <c r="F26" s="206">
        <f>2637603645.02-43201386</f>
        <v>2594402259.02</v>
      </c>
      <c r="G26" s="206">
        <v>2667401080</v>
      </c>
      <c r="H26" s="206">
        <v>2561558828.02</v>
      </c>
      <c r="I26" s="206">
        <v>2442008836</v>
      </c>
      <c r="J26" s="206">
        <v>2443743095.9699998</v>
      </c>
      <c r="K26" s="206">
        <v>2508311693</v>
      </c>
      <c r="L26" s="206">
        <v>2585000000</v>
      </c>
      <c r="M26" s="206">
        <v>2644000000</v>
      </c>
      <c r="N26" s="206">
        <v>2693000000</v>
      </c>
      <c r="O26" s="231">
        <v>2750000000</v>
      </c>
      <c r="P26" s="510">
        <f t="shared" si="4"/>
        <v>102.30</v>
      </c>
      <c r="Q26" s="338">
        <f t="shared" si="5"/>
        <v>101.90</v>
      </c>
      <c r="R26" s="511">
        <f t="shared" si="5"/>
        <v>102.10</v>
      </c>
    </row>
    <row r="27" spans="1:18" ht="12.75">
      <c r="A27" s="228"/>
      <c r="B27" s="229"/>
      <c r="C27" s="224" t="s">
        <v>68</v>
      </c>
      <c r="D27" s="206">
        <f>414269850-D14</f>
        <v>400002941</v>
      </c>
      <c r="E27" s="206">
        <f>418148020-12357625</f>
        <v>405790395</v>
      </c>
      <c r="F27" s="206">
        <f>425150647.11-13558549</f>
        <v>411592098.11000001</v>
      </c>
      <c r="G27" s="206">
        <v>409954814</v>
      </c>
      <c r="H27" s="206">
        <v>419359680</v>
      </c>
      <c r="I27" s="206">
        <v>436482544</v>
      </c>
      <c r="J27" s="206">
        <v>452255092</v>
      </c>
      <c r="K27" s="206">
        <v>502593376</v>
      </c>
      <c r="L27" s="206">
        <v>521091000</v>
      </c>
      <c r="M27" s="206">
        <v>605843607</v>
      </c>
      <c r="N27" s="268">
        <v>657866173</v>
      </c>
      <c r="O27" s="347">
        <v>710669078</v>
      </c>
      <c r="P27" s="510">
        <f t="shared" si="4"/>
        <v>116.30</v>
      </c>
      <c r="Q27" s="338">
        <f t="shared" si="5"/>
        <v>108.60</v>
      </c>
      <c r="R27" s="511">
        <f t="shared" si="5"/>
        <v>108</v>
      </c>
    </row>
    <row r="28" spans="1:18" ht="12.75">
      <c r="A28" s="228"/>
      <c r="B28" s="229"/>
      <c r="C28" s="230" t="s">
        <v>70</v>
      </c>
      <c r="D28" s="206">
        <f>4321626212.29-D16</f>
        <v>4174781582.29</v>
      </c>
      <c r="E28" s="206">
        <f>4089747953.82-142930747</f>
        <v>3946817206.8200002</v>
      </c>
      <c r="F28" s="206">
        <f>4066211891.44-131700654</f>
        <v>3934511237.4400001</v>
      </c>
      <c r="G28" s="206">
        <v>3808732442</v>
      </c>
      <c r="H28" s="206">
        <v>3785521400.6799998</v>
      </c>
      <c r="I28" s="206">
        <v>3838197700</v>
      </c>
      <c r="J28" s="206">
        <v>3940284978.4499998</v>
      </c>
      <c r="K28" s="206">
        <f>4044106374-1</f>
        <v>4044106373</v>
      </c>
      <c r="L28" s="206">
        <v>4212908000</v>
      </c>
      <c r="M28" s="206">
        <v>4400401000</v>
      </c>
      <c r="N28" s="206">
        <v>4521701000</v>
      </c>
      <c r="O28" s="231">
        <v>4688609000</v>
      </c>
      <c r="P28" s="510">
        <f t="shared" si="4"/>
        <v>104.50</v>
      </c>
      <c r="Q28" s="338">
        <f t="shared" si="5"/>
        <v>102.80</v>
      </c>
      <c r="R28" s="511">
        <f t="shared" si="5"/>
        <v>103.70</v>
      </c>
    </row>
    <row r="29" spans="1:18" ht="12.75">
      <c r="A29" s="228"/>
      <c r="B29" s="229"/>
      <c r="C29" s="230" t="s">
        <v>90</v>
      </c>
      <c r="D29" s="206">
        <f>617965759-D17</f>
        <v>600229336</v>
      </c>
      <c r="E29" s="206">
        <f>587953826-18247382</f>
        <v>569706444</v>
      </c>
      <c r="F29" s="206">
        <f>576453171.6-17500671</f>
        <v>558952500.60000002</v>
      </c>
      <c r="G29" s="206">
        <v>550988269</v>
      </c>
      <c r="H29" s="206">
        <v>548559945.88999999</v>
      </c>
      <c r="I29" s="206">
        <v>557220000</v>
      </c>
      <c r="J29" s="206">
        <v>569294281.61000001</v>
      </c>
      <c r="K29" s="206">
        <v>589204453</v>
      </c>
      <c r="L29" s="206">
        <v>608000000</v>
      </c>
      <c r="M29" s="206">
        <v>624200000</v>
      </c>
      <c r="N29" s="206">
        <v>632600000</v>
      </c>
      <c r="O29" s="231">
        <v>642000000</v>
      </c>
      <c r="P29" s="510">
        <f t="shared" si="4"/>
        <v>102.70</v>
      </c>
      <c r="Q29" s="338">
        <f t="shared" si="5"/>
        <v>101.30</v>
      </c>
      <c r="R29" s="511">
        <f t="shared" si="5"/>
        <v>101.50</v>
      </c>
    </row>
    <row r="30" spans="1:18" ht="12.75">
      <c r="A30" s="228"/>
      <c r="B30" s="229"/>
      <c r="C30" s="224" t="s">
        <v>72</v>
      </c>
      <c r="D30" s="206"/>
      <c r="E30" s="206">
        <f>836483-358829</f>
        <v>477654</v>
      </c>
      <c r="F30" s="206">
        <f>4495776-480048</f>
        <v>4015728</v>
      </c>
      <c r="G30" s="206">
        <v>5880135</v>
      </c>
      <c r="H30" s="206">
        <v>7678492</v>
      </c>
      <c r="I30" s="206">
        <v>14473189</v>
      </c>
      <c r="J30" s="206">
        <v>15390810</v>
      </c>
      <c r="K30" s="206">
        <v>36386960</v>
      </c>
      <c r="L30" s="206">
        <v>29320000</v>
      </c>
      <c r="M30" s="206">
        <v>42144000</v>
      </c>
      <c r="N30" s="206">
        <v>45504000</v>
      </c>
      <c r="O30" s="231">
        <v>48863000</v>
      </c>
      <c r="P30" s="510">
        <f t="shared" si="4"/>
        <v>143.69999999999999</v>
      </c>
      <c r="Q30" s="338">
        <f t="shared" si="5"/>
        <v>108</v>
      </c>
      <c r="R30" s="511">
        <f t="shared" si="5"/>
        <v>107.40</v>
      </c>
    </row>
    <row r="31" spans="1:18" ht="12.75">
      <c r="A31" s="123" t="s">
        <v>106</v>
      </c>
      <c r="B31" s="211" t="s">
        <v>107</v>
      </c>
      <c r="C31" s="117" t="s">
        <v>46</v>
      </c>
      <c r="D31" s="268"/>
      <c r="E31" s="268"/>
      <c r="F31" s="268"/>
      <c r="G31" s="268"/>
      <c r="H31" s="269">
        <f>H32+H33</f>
        <v>1722285.17</v>
      </c>
      <c r="I31" s="269">
        <f t="shared" si="8" ref="I31:O31">I32+I33</f>
        <v>30213619</v>
      </c>
      <c r="J31" s="269">
        <f t="shared" si="8"/>
        <v>1478653</v>
      </c>
      <c r="K31" s="269">
        <f t="shared" si="8"/>
        <v>1356280</v>
      </c>
      <c r="L31" s="269">
        <f t="shared" si="8"/>
        <v>2000000</v>
      </c>
      <c r="M31" s="269">
        <f t="shared" si="8"/>
        <v>2000000</v>
      </c>
      <c r="N31" s="210">
        <f t="shared" si="8"/>
        <v>2000000</v>
      </c>
      <c r="O31" s="222">
        <f t="shared" si="8"/>
        <v>2000000</v>
      </c>
      <c r="P31" s="510">
        <f t="shared" si="9" ref="P31:P32">IF(L31=0," ",IF(L31&gt;0,ROUND(M31/L31*100,1)))</f>
        <v>100</v>
      </c>
      <c r="Q31" s="338">
        <f>IF(M31=0," ",IF(M31&gt;0,ROUND(N31/M31*100,1)))</f>
        <v>100</v>
      </c>
      <c r="R31" s="511">
        <f>IF(N31=0," ",IF(N31&gt;0,ROUND(O31/N31*100,1)))</f>
        <v>100</v>
      </c>
    </row>
    <row r="32" spans="1:18" ht="12.75">
      <c r="A32" s="123"/>
      <c r="B32" s="211"/>
      <c r="C32" s="224" t="s">
        <v>69</v>
      </c>
      <c r="D32" s="270">
        <v>2515135.9300000002</v>
      </c>
      <c r="E32" s="270">
        <v>2113878</v>
      </c>
      <c r="F32" s="270">
        <v>1896048.68</v>
      </c>
      <c r="G32" s="270">
        <v>1805981</v>
      </c>
      <c r="H32" s="270">
        <v>1722285.17</v>
      </c>
      <c r="I32" s="270">
        <v>1632019</v>
      </c>
      <c r="J32" s="270">
        <v>1458253</v>
      </c>
      <c r="K32" s="270">
        <v>1356280</v>
      </c>
      <c r="L32" s="270">
        <v>2000000</v>
      </c>
      <c r="M32" s="270">
        <v>2000000</v>
      </c>
      <c r="N32" s="270">
        <v>2000000</v>
      </c>
      <c r="O32" s="271">
        <v>2000000</v>
      </c>
      <c r="P32" s="512">
        <f t="shared" si="9"/>
        <v>100</v>
      </c>
      <c r="Q32" s="341">
        <f t="shared" si="10" ref="Q32:R32">IF(M32=0," ",IF(M32&gt;0,ROUND(N32/M32*100,1)))</f>
        <v>100</v>
      </c>
      <c r="R32" s="513">
        <f t="shared" si="10"/>
        <v>100</v>
      </c>
    </row>
    <row r="33" spans="1:18" ht="13.5" thickBot="1">
      <c r="A33" s="126"/>
      <c r="B33" s="107"/>
      <c r="C33" s="127" t="s">
        <v>67</v>
      </c>
      <c r="D33" s="272"/>
      <c r="E33" s="272"/>
      <c r="F33" s="272"/>
      <c r="G33" s="272"/>
      <c r="H33" s="272"/>
      <c r="I33" s="272">
        <v>28581600</v>
      </c>
      <c r="J33" s="272">
        <v>20400</v>
      </c>
      <c r="K33" s="272">
        <v>0</v>
      </c>
      <c r="L33" s="272"/>
      <c r="M33" s="272"/>
      <c r="N33" s="272"/>
      <c r="O33" s="273"/>
      <c r="P33" s="514" t="str">
        <f t="shared" si="11" ref="P33">IF(L33=0," ",IF(L33&gt;0,ROUND(M33/L33*100,1)))</f>
        <v xml:space="preserve"> </v>
      </c>
      <c r="Q33" s="342" t="str">
        <f t="shared" si="12" ref="Q33">IF(M33=0," ",IF(M33&gt;0,ROUND(N33/M33*100,1)))</f>
        <v xml:space="preserve"> </v>
      </c>
      <c r="R33" s="335"/>
    </row>
    <row r="34" spans="1:18" ht="13.5" thickBot="1">
      <c r="A34" s="110" t="s">
        <v>108</v>
      </c>
      <c r="B34" s="111" t="s">
        <v>109</v>
      </c>
      <c r="C34" s="124" t="s">
        <v>69</v>
      </c>
      <c r="D34" s="125">
        <v>389141640.00999999</v>
      </c>
      <c r="E34" s="125">
        <v>451799443.70999998</v>
      </c>
      <c r="F34" s="125">
        <v>333207842.10000002</v>
      </c>
      <c r="G34" s="125">
        <v>391856289</v>
      </c>
      <c r="H34" s="125">
        <v>229499564.03</v>
      </c>
      <c r="I34" s="125">
        <v>250338702</v>
      </c>
      <c r="J34" s="125">
        <v>167342789.59999999</v>
      </c>
      <c r="K34" s="125">
        <v>257154378.5</v>
      </c>
      <c r="L34" s="125">
        <v>400000000</v>
      </c>
      <c r="M34" s="125">
        <v>300000000</v>
      </c>
      <c r="N34" s="125">
        <v>300000000</v>
      </c>
      <c r="O34" s="234">
        <v>300000000</v>
      </c>
      <c r="P34" s="515">
        <f t="shared" si="4"/>
        <v>75</v>
      </c>
      <c r="Q34" s="336">
        <f t="shared" si="5"/>
        <v>100</v>
      </c>
      <c r="R34" s="516">
        <f t="shared" si="5"/>
        <v>100</v>
      </c>
    </row>
    <row r="35" spans="1:18" ht="13.5" thickBot="1">
      <c r="A35" s="110" t="s">
        <v>110</v>
      </c>
      <c r="B35" s="111" t="s">
        <v>111</v>
      </c>
      <c r="C35" s="124"/>
      <c r="D35" s="113">
        <f t="shared" si="13" ref="D35:O35">SUM(D6,D34)</f>
        <v>469788861213.38989</v>
      </c>
      <c r="E35" s="113">
        <f t="shared" si="13"/>
        <v>481702168523.90015</v>
      </c>
      <c r="F35" s="113">
        <f t="shared" si="13"/>
        <v>490625949301.42993</v>
      </c>
      <c r="G35" s="113">
        <f t="shared" si="13"/>
        <v>497356368411</v>
      </c>
      <c r="H35" s="113">
        <f>SUM(H6,H34)</f>
        <v>507723473544.67004</v>
      </c>
      <c r="I35" s="113">
        <f>SUM(I6,I34)</f>
        <v>514517324415.56</v>
      </c>
      <c r="J35" s="113">
        <f t="shared" si="13"/>
        <v>531222057845.62006</v>
      </c>
      <c r="K35" s="113">
        <f t="shared" si="14" ref="K35">SUM(K6,K34)</f>
        <v>558127575624.5</v>
      </c>
      <c r="L35" s="113">
        <f t="shared" si="13"/>
        <v>603757002681</v>
      </c>
      <c r="M35" s="113">
        <f t="shared" si="13"/>
        <v>655564974855</v>
      </c>
      <c r="N35" s="113">
        <f t="shared" si="13"/>
        <v>685514715311</v>
      </c>
      <c r="O35" s="218">
        <f t="shared" si="13"/>
        <v>706712173374</v>
      </c>
      <c r="P35" s="515">
        <f t="shared" si="4"/>
        <v>108.60</v>
      </c>
      <c r="Q35" s="336">
        <f t="shared" si="5"/>
        <v>104.60</v>
      </c>
      <c r="R35" s="516">
        <f t="shared" si="5"/>
        <v>103.10</v>
      </c>
    </row>
    <row r="36" spans="1:18" ht="12.75">
      <c r="A36" s="123" t="s">
        <v>112</v>
      </c>
      <c r="B36" s="211" t="s">
        <v>113</v>
      </c>
      <c r="C36" s="117" t="s">
        <v>46</v>
      </c>
      <c r="D36" s="210">
        <f t="shared" si="15" ref="D36:O36">D37+D38</f>
        <v>4432021564</v>
      </c>
      <c r="E36" s="210">
        <f t="shared" si="15"/>
        <v>4447605006.9200001</v>
      </c>
      <c r="F36" s="210">
        <f t="shared" si="15"/>
        <v>4526160399.0699997</v>
      </c>
      <c r="G36" s="210">
        <f t="shared" si="15"/>
        <v>4763209046</v>
      </c>
      <c r="H36" s="210">
        <f>H37+H38</f>
        <v>4961681018.5</v>
      </c>
      <c r="I36" s="210">
        <f>I37+I38</f>
        <v>5508196967.1099997</v>
      </c>
      <c r="J36" s="210">
        <f t="shared" si="15"/>
        <v>6228685632.9300003</v>
      </c>
      <c r="K36" s="210">
        <f t="shared" si="16" ref="K36">K37+K38</f>
        <v>7249096301.5699997</v>
      </c>
      <c r="L36" s="227">
        <f t="shared" si="15"/>
        <v>7855000000</v>
      </c>
      <c r="M36" s="227">
        <f t="shared" si="15"/>
        <v>8006000000</v>
      </c>
      <c r="N36" s="210">
        <f t="shared" si="15"/>
        <v>8505000000</v>
      </c>
      <c r="O36" s="222">
        <f t="shared" si="15"/>
        <v>8800000000</v>
      </c>
      <c r="P36" s="510">
        <f t="shared" si="4"/>
        <v>101.90</v>
      </c>
      <c r="Q36" s="338">
        <f t="shared" si="5"/>
        <v>106.20</v>
      </c>
      <c r="R36" s="511">
        <f t="shared" si="5"/>
        <v>103.50</v>
      </c>
    </row>
    <row r="37" spans="1:18" ht="12.75">
      <c r="A37" s="123" t="s">
        <v>114</v>
      </c>
      <c r="B37" s="211" t="s">
        <v>239</v>
      </c>
      <c r="C37" s="121" t="s">
        <v>69</v>
      </c>
      <c r="D37" s="205">
        <v>3282404479</v>
      </c>
      <c r="E37" s="205">
        <v>3468251006.9200001</v>
      </c>
      <c r="F37" s="205">
        <v>3670238683.0699997</v>
      </c>
      <c r="G37" s="205">
        <v>4018724214</v>
      </c>
      <c r="H37" s="205">
        <v>4320059421.5</v>
      </c>
      <c r="I37" s="205">
        <v>4952514579.1099997</v>
      </c>
      <c r="J37" s="205">
        <v>5675571687.9300003</v>
      </c>
      <c r="K37" s="205">
        <v>6754655097.5699997</v>
      </c>
      <c r="L37" s="205">
        <v>7005000000</v>
      </c>
      <c r="M37" s="205">
        <v>7505000000</v>
      </c>
      <c r="N37" s="205">
        <v>8005000000</v>
      </c>
      <c r="O37" s="226">
        <v>8300000000</v>
      </c>
      <c r="P37" s="510">
        <f t="shared" si="4"/>
        <v>107.10</v>
      </c>
      <c r="Q37" s="338">
        <f t="shared" si="5"/>
        <v>106.70</v>
      </c>
      <c r="R37" s="511">
        <f t="shared" si="5"/>
        <v>103.70</v>
      </c>
    </row>
    <row r="38" spans="1:18" ht="13.5" thickBot="1">
      <c r="A38" s="228" t="s">
        <v>115</v>
      </c>
      <c r="B38" s="232" t="s">
        <v>116</v>
      </c>
      <c r="C38" s="230" t="s">
        <v>71</v>
      </c>
      <c r="D38" s="235">
        <v>1149617085</v>
      </c>
      <c r="E38" s="235">
        <v>979354000</v>
      </c>
      <c r="F38" s="207">
        <v>855921716</v>
      </c>
      <c r="G38" s="207">
        <v>744484832</v>
      </c>
      <c r="H38" s="207">
        <v>641621597</v>
      </c>
      <c r="I38" s="207">
        <v>555682388</v>
      </c>
      <c r="J38" s="207">
        <v>553113945</v>
      </c>
      <c r="K38" s="207">
        <v>494441204</v>
      </c>
      <c r="L38" s="207">
        <v>850000000</v>
      </c>
      <c r="M38" s="207">
        <v>501000000</v>
      </c>
      <c r="N38" s="207">
        <v>500000000</v>
      </c>
      <c r="O38" s="233">
        <v>500000000</v>
      </c>
      <c r="P38" s="517">
        <f t="shared" si="4"/>
        <v>58.90</v>
      </c>
      <c r="Q38" s="343">
        <f t="shared" si="5"/>
        <v>99.80</v>
      </c>
      <c r="R38" s="518">
        <f t="shared" si="5"/>
        <v>100</v>
      </c>
    </row>
    <row r="39" spans="1:18" ht="13.5" thickBot="1">
      <c r="A39" s="110" t="s">
        <v>117</v>
      </c>
      <c r="B39" s="111" t="s">
        <v>118</v>
      </c>
      <c r="C39" s="124"/>
      <c r="D39" s="113">
        <f t="shared" si="17" ref="D39:O39">SUM(D35,D36)</f>
        <v>474220882777.38989</v>
      </c>
      <c r="E39" s="113">
        <f t="shared" si="17"/>
        <v>486149773530.82013</v>
      </c>
      <c r="F39" s="113">
        <f t="shared" si="17"/>
        <v>495152109700.49994</v>
      </c>
      <c r="G39" s="113">
        <f t="shared" si="17"/>
        <v>502119577457</v>
      </c>
      <c r="H39" s="113">
        <f t="shared" si="17"/>
        <v>512685154563.17004</v>
      </c>
      <c r="I39" s="113">
        <f t="shared" si="17"/>
        <v>520025521382.66998</v>
      </c>
      <c r="J39" s="113">
        <f t="shared" si="17"/>
        <v>537450743478.55005</v>
      </c>
      <c r="K39" s="113">
        <f t="shared" si="17"/>
        <v>565376671926.06995</v>
      </c>
      <c r="L39" s="114">
        <f t="shared" si="17"/>
        <v>611612002681</v>
      </c>
      <c r="M39" s="113">
        <f t="shared" si="17"/>
        <v>663570974855</v>
      </c>
      <c r="N39" s="113">
        <f t="shared" si="17"/>
        <v>694019715311</v>
      </c>
      <c r="O39" s="218">
        <f t="shared" si="17"/>
        <v>715512173374</v>
      </c>
      <c r="P39" s="515">
        <f t="shared" si="4"/>
        <v>108.50</v>
      </c>
      <c r="Q39" s="336">
        <f t="shared" si="5"/>
        <v>104.60</v>
      </c>
      <c r="R39" s="516">
        <f t="shared" si="5"/>
        <v>103.10</v>
      </c>
    </row>
    <row r="40" spans="1:18" ht="16.5" thickBot="1">
      <c r="A40" s="126" t="s">
        <v>73</v>
      </c>
      <c r="B40" s="107" t="s">
        <v>119</v>
      </c>
      <c r="C40" s="127" t="s">
        <v>69</v>
      </c>
      <c r="D40" s="128">
        <f>3816436355.44-1833351234.42</f>
        <v>1983085121.02</v>
      </c>
      <c r="E40" s="128">
        <f>2595620755.75-1276837497.18</f>
        <v>1318783258.5699999</v>
      </c>
      <c r="F40" s="128">
        <f>4285714230.62-2748067337</f>
        <v>1537646893.6199999</v>
      </c>
      <c r="G40" s="128">
        <v>1535043163</v>
      </c>
      <c r="H40" s="128">
        <v>2095214623.03</v>
      </c>
      <c r="I40" s="128">
        <v>2027657131.51</v>
      </c>
      <c r="J40" s="128">
        <v>2288856007.8499999</v>
      </c>
      <c r="K40" s="128">
        <v>1774605363.04</v>
      </c>
      <c r="L40" s="128">
        <v>300000000</v>
      </c>
      <c r="M40" s="128">
        <v>500000000</v>
      </c>
      <c r="N40" s="128">
        <v>500000000</v>
      </c>
      <c r="O40" s="348">
        <v>500000000</v>
      </c>
      <c r="P40" s="519">
        <f t="shared" si="4"/>
        <v>166.70</v>
      </c>
      <c r="Q40" s="344">
        <f t="shared" si="5"/>
        <v>100</v>
      </c>
      <c r="R40" s="520">
        <f t="shared" si="5"/>
        <v>100</v>
      </c>
    </row>
    <row r="41" spans="1:18" ht="13.5" thickBot="1">
      <c r="A41" s="110" t="s">
        <v>120</v>
      </c>
      <c r="B41" s="111" t="s">
        <v>147</v>
      </c>
      <c r="C41" s="124"/>
      <c r="D41" s="113">
        <f t="shared" si="18" ref="D41:O41">D39+D40</f>
        <v>476203967898.40991</v>
      </c>
      <c r="E41" s="113">
        <f t="shared" si="18"/>
        <v>487468556789.39014</v>
      </c>
      <c r="F41" s="113">
        <f t="shared" si="18"/>
        <v>496689756594.11993</v>
      </c>
      <c r="G41" s="311">
        <f t="shared" si="18"/>
        <v>503654620620</v>
      </c>
      <c r="H41" s="113">
        <f t="shared" si="18"/>
        <v>514780369186.20007</v>
      </c>
      <c r="I41" s="113">
        <f t="shared" si="18"/>
        <v>522053178514.17999</v>
      </c>
      <c r="J41" s="113">
        <f t="shared" si="18"/>
        <v>539739599486.40002</v>
      </c>
      <c r="K41" s="113">
        <f t="shared" si="18"/>
        <v>567151277289.10999</v>
      </c>
      <c r="L41" s="114">
        <f t="shared" si="18"/>
        <v>611912002681</v>
      </c>
      <c r="M41" s="113">
        <f t="shared" si="18"/>
        <v>664070974855</v>
      </c>
      <c r="N41" s="113">
        <f t="shared" si="18"/>
        <v>694519715311</v>
      </c>
      <c r="O41" s="114">
        <f t="shared" si="18"/>
        <v>716012173374</v>
      </c>
      <c r="P41" s="332">
        <f t="shared" si="4"/>
        <v>108.50</v>
      </c>
      <c r="Q41" s="336">
        <f t="shared" si="5"/>
        <v>104.60</v>
      </c>
      <c r="R41" s="516">
        <f t="shared" si="5"/>
        <v>103.10</v>
      </c>
    </row>
    <row r="42" spans="1:18" ht="12.75">
      <c r="A42" s="305">
        <v>362</v>
      </c>
      <c r="B42" s="306" t="s">
        <v>164</v>
      </c>
      <c r="C42" s="307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9"/>
      <c r="Q42" s="310"/>
      <c r="R42" s="333"/>
    </row>
    <row r="43" spans="1:16" ht="12.75">
      <c r="A43" s="100" t="s">
        <v>121</v>
      </c>
      <c r="B43" s="129"/>
      <c r="C43" s="130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1:15" ht="12.75">
      <c r="A44" s="100" t="s">
        <v>122</v>
      </c>
      <c r="J44" s="102"/>
      <c r="K44" s="102"/>
      <c r="L44" s="102"/>
      <c r="M44" s="102"/>
      <c r="N44" s="102"/>
      <c r="O44" s="102"/>
    </row>
  </sheetData>
  <mergeCells count="2">
    <mergeCell ref="D22:D23"/>
    <mergeCell ref="P4:R4"/>
  </mergeCells>
  <pageMargins left="0.393700787401575" right="0.354330708661417" top="0.511811023622047" bottom="0.511811023622047" header="0.31496062992126" footer="0.31496062992126"/>
  <pageSetup fitToHeight="0" orientation="landscape" paperSize="9" scale="63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workbookViewId="0" topLeftCell="A1">
      <pane xSplit="1" ySplit="4" topLeftCell="B23" activePane="bottomRight" state="frozen"/>
      <selection pane="topLeft" activeCell="O45" sqref="O45"/>
      <selection pane="bottomLeft" activeCell="O45" sqref="O45"/>
      <selection pane="topRight" activeCell="O45" sqref="O45"/>
      <selection pane="bottomRight" activeCell="B2" sqref="B2:N2"/>
    </sheetView>
  </sheetViews>
  <sheetFormatPr defaultRowHeight="12.75"/>
  <cols>
    <col min="1" max="1" width="8.57142857142857" style="70" customWidth="1"/>
    <col min="2" max="2" width="48.5714285714286" style="365" customWidth="1"/>
    <col min="3" max="3" width="0" style="365" hidden="1" customWidth="1"/>
    <col min="4" max="4" width="0" style="365" hidden="1" customWidth="1"/>
    <col min="5" max="6" width="0" style="365" hidden="1" customWidth="1"/>
    <col min="7" max="10" width="15.5714285714286" style="365" customWidth="1"/>
    <col min="11" max="11" width="15.8571428571429" style="366" customWidth="1"/>
    <col min="12" max="12" width="16.7142857142857" style="366" customWidth="1"/>
    <col min="13" max="13" width="15.5714285714286" style="366" customWidth="1"/>
    <col min="14" max="14" width="15.7142857142857" style="366" customWidth="1"/>
    <col min="15" max="15" width="11.2857142857143" style="70" customWidth="1"/>
    <col min="16" max="16" width="9.28571428571429" style="70"/>
    <col min="17" max="17" width="13.2857142857143" style="70" customWidth="1"/>
    <col min="18" max="16384" width="9.28571428571429" style="70"/>
  </cols>
  <sheetData>
    <row r="1" ht="12.75">
      <c r="N1" s="366" t="s">
        <v>60</v>
      </c>
    </row>
    <row r="2" spans="2:14" ht="28.5" customHeight="1">
      <c r="B2" s="571" t="s">
        <v>196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</row>
    <row r="3" ht="13.5" thickBot="1">
      <c r="N3" s="367" t="s">
        <v>1</v>
      </c>
    </row>
    <row r="4" spans="2:14" ht="27.75" customHeight="1" thickBot="1">
      <c r="B4" s="368" t="s">
        <v>197</v>
      </c>
      <c r="C4" s="369" t="s">
        <v>198</v>
      </c>
      <c r="D4" s="369" t="s">
        <v>199</v>
      </c>
      <c r="E4" s="369" t="s">
        <v>200</v>
      </c>
      <c r="F4" s="369" t="s">
        <v>201</v>
      </c>
      <c r="G4" s="369" t="s">
        <v>202</v>
      </c>
      <c r="H4" s="370" t="s">
        <v>203</v>
      </c>
      <c r="I4" s="371" t="s">
        <v>204</v>
      </c>
      <c r="J4" s="371" t="s">
        <v>205</v>
      </c>
      <c r="K4" s="372" t="s">
        <v>206</v>
      </c>
      <c r="L4" s="373">
        <v>2020</v>
      </c>
      <c r="M4" s="373">
        <v>2021</v>
      </c>
      <c r="N4" s="374">
        <v>2022</v>
      </c>
    </row>
    <row r="5" spans="1:17" ht="13.5" thickTop="1">
      <c r="A5" s="70">
        <v>504</v>
      </c>
      <c r="B5" s="71" t="s">
        <v>207</v>
      </c>
      <c r="C5" s="251">
        <v>10729038</v>
      </c>
      <c r="D5" s="251">
        <v>5290051</v>
      </c>
      <c r="E5" s="212">
        <v>4953391402</v>
      </c>
      <c r="F5" s="212">
        <v>4761231806</v>
      </c>
      <c r="G5" s="212">
        <v>4561998777</v>
      </c>
      <c r="H5" s="375">
        <v>4280377774</v>
      </c>
      <c r="I5" s="376">
        <v>3947173366</v>
      </c>
      <c r="J5" s="236">
        <v>3915961909</v>
      </c>
      <c r="K5" s="236">
        <v>4000000000</v>
      </c>
      <c r="L5" s="236">
        <v>4100000000</v>
      </c>
      <c r="M5" s="236">
        <v>4200000000</v>
      </c>
      <c r="N5" s="239">
        <v>4200000000</v>
      </c>
      <c r="Q5" s="366"/>
    </row>
    <row r="6" spans="1:17" ht="25.5">
      <c r="A6" s="70">
        <v>505</v>
      </c>
      <c r="B6" s="71" t="s">
        <v>208</v>
      </c>
      <c r="C6" s="251">
        <v>491391</v>
      </c>
      <c r="D6" s="251">
        <v>552756</v>
      </c>
      <c r="E6" s="212">
        <v>1169867280</v>
      </c>
      <c r="F6" s="212">
        <v>1769916829</v>
      </c>
      <c r="G6" s="212">
        <v>0</v>
      </c>
      <c r="H6" s="377">
        <v>3823927728.1799998</v>
      </c>
      <c r="I6" s="378">
        <v>31371708</v>
      </c>
      <c r="J6" s="236">
        <v>0</v>
      </c>
      <c r="K6" s="236">
        <v>480000000</v>
      </c>
      <c r="L6" s="236">
        <v>460000000</v>
      </c>
      <c r="M6" s="236">
        <v>450000000</v>
      </c>
      <c r="N6" s="239">
        <v>410000000</v>
      </c>
      <c r="Q6" s="366"/>
    </row>
    <row r="7" spans="2:17" ht="25.5">
      <c r="B7" s="72" t="s">
        <v>209</v>
      </c>
      <c r="C7" s="251">
        <v>0</v>
      </c>
      <c r="D7" s="251">
        <v>0</v>
      </c>
      <c r="E7" s="212">
        <v>0</v>
      </c>
      <c r="F7" s="212">
        <v>0</v>
      </c>
      <c r="G7" s="212">
        <v>0</v>
      </c>
      <c r="H7" s="377">
        <v>1000000000</v>
      </c>
      <c r="I7" s="378">
        <v>0</v>
      </c>
      <c r="J7" s="236">
        <v>0</v>
      </c>
      <c r="K7" s="236">
        <v>0</v>
      </c>
      <c r="L7" s="236">
        <v>0</v>
      </c>
      <c r="M7" s="236">
        <v>0</v>
      </c>
      <c r="N7" s="239">
        <v>0</v>
      </c>
      <c r="Q7" s="366"/>
    </row>
    <row r="8" spans="1:17" ht="25.5">
      <c r="A8" s="70">
        <v>505</v>
      </c>
      <c r="B8" s="72" t="s">
        <v>210</v>
      </c>
      <c r="C8" s="251">
        <v>1000000</v>
      </c>
      <c r="D8" s="251">
        <v>1000000</v>
      </c>
      <c r="E8" s="212">
        <v>1500000000</v>
      </c>
      <c r="F8" s="212">
        <v>1250000000</v>
      </c>
      <c r="G8" s="212">
        <v>0</v>
      </c>
      <c r="H8" s="377">
        <v>2200000000</v>
      </c>
      <c r="I8" s="378">
        <v>2800000000</v>
      </c>
      <c r="J8" s="236">
        <v>4330300000</v>
      </c>
      <c r="K8" s="236">
        <v>0</v>
      </c>
      <c r="L8" s="236">
        <v>0</v>
      </c>
      <c r="M8" s="236">
        <v>0</v>
      </c>
      <c r="N8" s="239">
        <v>0</v>
      </c>
      <c r="Q8" s="366"/>
    </row>
    <row r="9" spans="1:17" ht="12.75">
      <c r="A9" s="70">
        <v>505</v>
      </c>
      <c r="B9" s="72" t="s">
        <v>211</v>
      </c>
      <c r="C9" s="379">
        <v>0</v>
      </c>
      <c r="D9" s="379">
        <v>0</v>
      </c>
      <c r="E9" s="213">
        <v>0</v>
      </c>
      <c r="F9" s="213">
        <v>0</v>
      </c>
      <c r="G9" s="213">
        <v>0</v>
      </c>
      <c r="H9" s="380">
        <v>0</v>
      </c>
      <c r="I9" s="380">
        <v>0</v>
      </c>
      <c r="J9" s="236">
        <v>0</v>
      </c>
      <c r="K9" s="236">
        <v>250000000</v>
      </c>
      <c r="L9" s="236">
        <v>250000000</v>
      </c>
      <c r="M9" s="236">
        <v>250000000</v>
      </c>
      <c r="N9" s="239">
        <v>250000000</v>
      </c>
      <c r="Q9" s="366"/>
    </row>
    <row r="10" spans="2:17" ht="12.75">
      <c r="B10" s="172" t="s">
        <v>212</v>
      </c>
      <c r="C10" s="379"/>
      <c r="D10" s="379"/>
      <c r="E10" s="213"/>
      <c r="F10" s="213"/>
      <c r="G10" s="213">
        <v>2775000000</v>
      </c>
      <c r="H10" s="380">
        <v>0</v>
      </c>
      <c r="I10" s="380">
        <v>0</v>
      </c>
      <c r="J10" s="236"/>
      <c r="K10" s="236"/>
      <c r="L10" s="236"/>
      <c r="M10" s="236"/>
      <c r="N10" s="239"/>
      <c r="Q10" s="366"/>
    </row>
    <row r="11" spans="1:17" ht="12.75">
      <c r="A11" s="70">
        <v>505</v>
      </c>
      <c r="B11" s="71" t="s">
        <v>213</v>
      </c>
      <c r="C11" s="251">
        <v>2520028</v>
      </c>
      <c r="D11" s="251">
        <v>2628195</v>
      </c>
      <c r="E11" s="212">
        <v>2170849929</v>
      </c>
      <c r="F11" s="212">
        <v>2051710052</v>
      </c>
      <c r="G11" s="212">
        <v>1394124824</v>
      </c>
      <c r="H11" s="377">
        <v>1582367083.21</v>
      </c>
      <c r="I11" s="381">
        <v>642046004</v>
      </c>
      <c r="J11" s="236">
        <v>414015089</v>
      </c>
      <c r="K11" s="236">
        <v>322000000</v>
      </c>
      <c r="L11" s="236">
        <v>319000000</v>
      </c>
      <c r="M11" s="236">
        <v>0</v>
      </c>
      <c r="N11" s="239">
        <v>0</v>
      </c>
      <c r="Q11" s="366"/>
    </row>
    <row r="12" spans="1:17" ht="25.5">
      <c r="A12" s="70">
        <v>505</v>
      </c>
      <c r="B12" s="71" t="s">
        <v>214</v>
      </c>
      <c r="C12" s="251">
        <v>7203000</v>
      </c>
      <c r="D12" s="251">
        <v>0</v>
      </c>
      <c r="E12" s="212">
        <v>0</v>
      </c>
      <c r="F12" s="212">
        <v>0</v>
      </c>
      <c r="G12" s="212">
        <v>0</v>
      </c>
      <c r="H12" s="380">
        <v>0</v>
      </c>
      <c r="I12" s="380">
        <v>280000000</v>
      </c>
      <c r="J12" s="236">
        <v>0</v>
      </c>
      <c r="K12" s="236">
        <v>0</v>
      </c>
      <c r="L12" s="236">
        <v>0</v>
      </c>
      <c r="M12" s="236">
        <v>0</v>
      </c>
      <c r="N12" s="239">
        <v>0</v>
      </c>
      <c r="Q12" s="366"/>
    </row>
    <row r="13" spans="1:17" ht="12.75">
      <c r="A13" s="70">
        <v>505</v>
      </c>
      <c r="B13" s="71" t="s">
        <v>215</v>
      </c>
      <c r="C13" s="251">
        <v>2255113</v>
      </c>
      <c r="D13" s="251">
        <v>2172521</v>
      </c>
      <c r="E13" s="212">
        <v>1710072568</v>
      </c>
      <c r="F13" s="212">
        <v>1730670043</v>
      </c>
      <c r="G13" s="212">
        <v>1666896627</v>
      </c>
      <c r="H13" s="377">
        <v>1607454337.3499999</v>
      </c>
      <c r="I13" s="381">
        <v>1535885814</v>
      </c>
      <c r="J13" s="236">
        <v>787449576</v>
      </c>
      <c r="K13" s="236">
        <v>593000000</v>
      </c>
      <c r="L13" s="236">
        <v>326680000</v>
      </c>
      <c r="M13" s="236">
        <v>311330000</v>
      </c>
      <c r="N13" s="239">
        <v>296700000</v>
      </c>
      <c r="Q13" s="366"/>
    </row>
    <row r="14" spans="2:17" ht="12.75">
      <c r="B14" s="71"/>
      <c r="C14" s="251"/>
      <c r="D14" s="251"/>
      <c r="E14" s="212"/>
      <c r="F14" s="212"/>
      <c r="G14" s="212"/>
      <c r="H14" s="380"/>
      <c r="I14" s="380"/>
      <c r="J14" s="236"/>
      <c r="K14" s="236"/>
      <c r="L14" s="236"/>
      <c r="M14" s="236"/>
      <c r="N14" s="239"/>
      <c r="Q14" s="366"/>
    </row>
    <row r="15" spans="2:17" ht="12.75">
      <c r="B15" s="71" t="s">
        <v>216</v>
      </c>
      <c r="C15" s="251">
        <v>6300</v>
      </c>
      <c r="D15" s="251">
        <v>6300</v>
      </c>
      <c r="E15" s="212">
        <v>6300000</v>
      </c>
      <c r="F15" s="212">
        <v>6300000</v>
      </c>
      <c r="G15" s="212">
        <v>8000000</v>
      </c>
      <c r="H15" s="380">
        <v>6300000</v>
      </c>
      <c r="I15" s="380">
        <v>6300000</v>
      </c>
      <c r="J15" s="236">
        <v>6300000</v>
      </c>
      <c r="K15" s="236">
        <v>6300000</v>
      </c>
      <c r="L15" s="236">
        <v>6300000</v>
      </c>
      <c r="M15" s="236">
        <v>6300000</v>
      </c>
      <c r="N15" s="239">
        <v>6300000</v>
      </c>
      <c r="Q15" s="366"/>
    </row>
    <row r="16" spans="2:17" ht="12.75">
      <c r="B16" s="71" t="s">
        <v>217</v>
      </c>
      <c r="C16" s="251">
        <v>6650</v>
      </c>
      <c r="D16" s="251">
        <v>6650</v>
      </c>
      <c r="E16" s="212">
        <v>6750000</v>
      </c>
      <c r="F16" s="212">
        <v>6750000</v>
      </c>
      <c r="G16" s="212">
        <v>6750000</v>
      </c>
      <c r="H16" s="377">
        <v>6750000</v>
      </c>
      <c r="I16" s="381">
        <v>5750000</v>
      </c>
      <c r="J16" s="236">
        <v>5750000</v>
      </c>
      <c r="K16" s="236">
        <v>5250000</v>
      </c>
      <c r="L16" s="236">
        <v>5250000</v>
      </c>
      <c r="M16" s="236">
        <v>5250000</v>
      </c>
      <c r="N16" s="239">
        <v>5250000</v>
      </c>
      <c r="Q16" s="366"/>
    </row>
    <row r="17" spans="2:17" ht="12.75">
      <c r="B17" s="71" t="s">
        <v>218</v>
      </c>
      <c r="C17" s="251">
        <v>1530</v>
      </c>
      <c r="D17" s="251">
        <v>1530</v>
      </c>
      <c r="E17" s="212">
        <v>1530000</v>
      </c>
      <c r="F17" s="212">
        <v>1530000</v>
      </c>
      <c r="G17" s="212">
        <v>1530000</v>
      </c>
      <c r="H17" s="377">
        <v>1530000</v>
      </c>
      <c r="I17" s="381">
        <v>1530000</v>
      </c>
      <c r="J17" s="236">
        <v>1530000</v>
      </c>
      <c r="K17" s="236">
        <v>1530000</v>
      </c>
      <c r="L17" s="236">
        <v>1530000</v>
      </c>
      <c r="M17" s="236">
        <v>1530000</v>
      </c>
      <c r="N17" s="239">
        <v>1530000</v>
      </c>
      <c r="Q17" s="366"/>
    </row>
    <row r="18" spans="2:17" ht="12.75">
      <c r="B18" s="71" t="s">
        <v>219</v>
      </c>
      <c r="C18" s="251">
        <v>270</v>
      </c>
      <c r="D18" s="251">
        <v>270</v>
      </c>
      <c r="E18" s="212">
        <v>270000</v>
      </c>
      <c r="F18" s="212">
        <v>270000</v>
      </c>
      <c r="G18" s="212">
        <v>270000</v>
      </c>
      <c r="H18" s="377">
        <v>270000</v>
      </c>
      <c r="I18" s="381">
        <v>270000</v>
      </c>
      <c r="J18" s="236">
        <v>270000</v>
      </c>
      <c r="K18" s="236">
        <v>0</v>
      </c>
      <c r="L18" s="236">
        <v>0</v>
      </c>
      <c r="M18" s="236">
        <v>0</v>
      </c>
      <c r="N18" s="239">
        <v>0</v>
      </c>
      <c r="Q18" s="366"/>
    </row>
    <row r="19" spans="2:17" ht="12.75">
      <c r="B19" s="71" t="s">
        <v>220</v>
      </c>
      <c r="C19" s="251">
        <v>1800</v>
      </c>
      <c r="D19" s="251">
        <v>1800</v>
      </c>
      <c r="E19" s="212">
        <v>1800000</v>
      </c>
      <c r="F19" s="212">
        <v>1800000</v>
      </c>
      <c r="G19" s="212">
        <v>1800000</v>
      </c>
      <c r="H19" s="377">
        <v>1800000</v>
      </c>
      <c r="I19" s="381">
        <v>1800000</v>
      </c>
      <c r="J19" s="236">
        <v>1800000</v>
      </c>
      <c r="K19" s="236">
        <v>1800000</v>
      </c>
      <c r="L19" s="236">
        <v>1800000</v>
      </c>
      <c r="M19" s="236">
        <v>1800000</v>
      </c>
      <c r="N19" s="239">
        <v>1800000</v>
      </c>
      <c r="Q19" s="366"/>
    </row>
    <row r="20" spans="2:17" ht="12.75">
      <c r="B20" s="72" t="s">
        <v>221</v>
      </c>
      <c r="C20" s="251"/>
      <c r="D20" s="251"/>
      <c r="E20" s="212"/>
      <c r="F20" s="212"/>
      <c r="G20" s="212"/>
      <c r="H20" s="380">
        <v>0</v>
      </c>
      <c r="I20" s="380">
        <v>8000000</v>
      </c>
      <c r="J20" s="236">
        <v>6000000</v>
      </c>
      <c r="K20" s="236">
        <v>6000000</v>
      </c>
      <c r="L20" s="236">
        <v>6000000</v>
      </c>
      <c r="M20" s="236">
        <v>6000000</v>
      </c>
      <c r="N20" s="239">
        <v>6000000</v>
      </c>
      <c r="O20" s="80"/>
      <c r="Q20" s="366"/>
    </row>
    <row r="21" spans="1:17" ht="38.25">
      <c r="A21" s="70">
        <v>506</v>
      </c>
      <c r="B21" s="71" t="s">
        <v>222</v>
      </c>
      <c r="C21" s="251">
        <v>305401</v>
      </c>
      <c r="D21" s="251">
        <v>634536</v>
      </c>
      <c r="E21" s="212">
        <v>258262000</v>
      </c>
      <c r="F21" s="212">
        <v>662443771</v>
      </c>
      <c r="G21" s="212">
        <v>207312028</v>
      </c>
      <c r="H21" s="212">
        <v>192177263</v>
      </c>
      <c r="I21" s="212">
        <v>401054920</v>
      </c>
      <c r="J21" s="236">
        <v>415000000</v>
      </c>
      <c r="K21" s="236">
        <v>850000000</v>
      </c>
      <c r="L21" s="236">
        <v>850000000</v>
      </c>
      <c r="M21" s="236">
        <v>850000000</v>
      </c>
      <c r="N21" s="239">
        <v>850000000</v>
      </c>
      <c r="O21" s="70" t="s">
        <v>223</v>
      </c>
      <c r="Q21" s="366"/>
    </row>
    <row r="22" spans="1:17" ht="12.75">
      <c r="A22" s="70">
        <v>506</v>
      </c>
      <c r="B22" s="72" t="s">
        <v>224</v>
      </c>
      <c r="C22" s="379">
        <v>5587830</v>
      </c>
      <c r="D22" s="379">
        <v>5744749</v>
      </c>
      <c r="E22" s="213">
        <v>6690088274</v>
      </c>
      <c r="F22" s="213">
        <v>6888595237</v>
      </c>
      <c r="G22" s="213">
        <v>6817342641</v>
      </c>
      <c r="H22" s="377">
        <v>6806990940.6599998</v>
      </c>
      <c r="I22" s="381">
        <v>6877518548</v>
      </c>
      <c r="J22" s="236">
        <v>6994877655</v>
      </c>
      <c r="K22" s="236">
        <v>7100000000</v>
      </c>
      <c r="L22" s="236">
        <v>7200000000</v>
      </c>
      <c r="M22" s="236">
        <v>7300000000</v>
      </c>
      <c r="N22" s="239">
        <v>7300000000</v>
      </c>
      <c r="Q22" s="366"/>
    </row>
    <row r="23" spans="1:17" ht="12.75">
      <c r="A23" s="70">
        <v>506</v>
      </c>
      <c r="B23" s="382" t="s">
        <v>225</v>
      </c>
      <c r="C23" s="383">
        <v>491454</v>
      </c>
      <c r="D23" s="383">
        <v>494837</v>
      </c>
      <c r="E23" s="384">
        <v>470862919</v>
      </c>
      <c r="F23" s="384">
        <v>488137917</v>
      </c>
      <c r="G23" s="384">
        <v>483238125</v>
      </c>
      <c r="H23" s="377">
        <v>507113543</v>
      </c>
      <c r="I23" s="381">
        <v>526633541</v>
      </c>
      <c r="J23" s="385">
        <v>560433334</v>
      </c>
      <c r="K23" s="385">
        <v>582900000</v>
      </c>
      <c r="L23" s="385">
        <v>589650000</v>
      </c>
      <c r="M23" s="385">
        <v>589650000</v>
      </c>
      <c r="N23" s="386">
        <v>592900000</v>
      </c>
      <c r="Q23" s="366"/>
    </row>
    <row r="24" spans="1:17" ht="12.75">
      <c r="A24" s="70">
        <v>506</v>
      </c>
      <c r="B24" s="387" t="s">
        <v>226</v>
      </c>
      <c r="C24" s="388">
        <v>0</v>
      </c>
      <c r="D24" s="388">
        <v>0</v>
      </c>
      <c r="E24" s="389">
        <v>483407200</v>
      </c>
      <c r="F24" s="389">
        <v>42480930</v>
      </c>
      <c r="G24" s="389">
        <v>0</v>
      </c>
      <c r="H24" s="380">
        <v>0</v>
      </c>
      <c r="I24" s="380">
        <v>482331500</v>
      </c>
      <c r="J24" s="385">
        <v>0</v>
      </c>
      <c r="K24" s="385">
        <v>125910000</v>
      </c>
      <c r="L24" s="385">
        <v>0</v>
      </c>
      <c r="M24" s="385">
        <v>669960000</v>
      </c>
      <c r="N24" s="386">
        <v>0</v>
      </c>
      <c r="Q24" s="366"/>
    </row>
    <row r="25" spans="2:17" ht="12.75">
      <c r="B25" s="387"/>
      <c r="C25" s="388"/>
      <c r="D25" s="388"/>
      <c r="E25" s="389"/>
      <c r="F25" s="389"/>
      <c r="G25" s="389"/>
      <c r="H25" s="380"/>
      <c r="I25" s="380"/>
      <c r="J25" s="385"/>
      <c r="K25" s="385"/>
      <c r="L25" s="385"/>
      <c r="M25" s="385"/>
      <c r="N25" s="386"/>
      <c r="Q25" s="366"/>
    </row>
    <row r="26" spans="1:17" ht="25.5">
      <c r="A26" s="70">
        <v>507</v>
      </c>
      <c r="B26" s="390" t="s">
        <v>227</v>
      </c>
      <c r="C26" s="388">
        <f>1074348+9183550+966264</f>
        <v>11224162</v>
      </c>
      <c r="D26" s="388">
        <f>1035651+9010404+968383</f>
        <v>11014438</v>
      </c>
      <c r="E26" s="391">
        <f>1036651000+7428354100+813410000</f>
        <v>9278415100</v>
      </c>
      <c r="F26" s="391">
        <f>1040870000+7431305000+816534000</f>
        <v>9288709000</v>
      </c>
      <c r="G26" s="391">
        <f>1040870000+7434739068+814349000</f>
        <v>9289958068</v>
      </c>
      <c r="H26" s="380">
        <f>1069942700+7516654548+833725300</f>
        <v>9420322548</v>
      </c>
      <c r="I26" s="380">
        <f>1140548000+8190352128+906192600</f>
        <v>10237092728</v>
      </c>
      <c r="J26" s="385">
        <v>10762150380</v>
      </c>
      <c r="K26" s="385">
        <v>11831111700</v>
      </c>
      <c r="L26" s="385">
        <v>12404977300</v>
      </c>
      <c r="M26" s="385">
        <v>13007542000</v>
      </c>
      <c r="N26" s="386">
        <v>13640233500</v>
      </c>
      <c r="Q26" s="366"/>
    </row>
    <row r="27" spans="2:17" ht="12.75">
      <c r="B27" s="172" t="s">
        <v>228</v>
      </c>
      <c r="C27" s="388"/>
      <c r="D27" s="388"/>
      <c r="E27" s="389"/>
      <c r="F27" s="389"/>
      <c r="G27" s="389"/>
      <c r="H27" s="380"/>
      <c r="I27" s="380"/>
      <c r="J27" s="385">
        <v>45000000</v>
      </c>
      <c r="K27" s="385">
        <v>295671000</v>
      </c>
      <c r="L27" s="385">
        <v>780100000</v>
      </c>
      <c r="M27" s="385">
        <v>986100000</v>
      </c>
      <c r="N27" s="386">
        <v>28500000</v>
      </c>
      <c r="Q27" s="366"/>
    </row>
    <row r="28" spans="1:17" ht="12.75">
      <c r="A28" s="70">
        <v>511</v>
      </c>
      <c r="B28" s="382" t="s">
        <v>229</v>
      </c>
      <c r="C28" s="383">
        <v>52717219</v>
      </c>
      <c r="D28" s="383">
        <v>52867264</v>
      </c>
      <c r="E28" s="384">
        <v>53676144801</v>
      </c>
      <c r="F28" s="384">
        <v>59867077552</v>
      </c>
      <c r="G28" s="389">
        <v>60944361725</v>
      </c>
      <c r="H28" s="377">
        <v>62253525120</v>
      </c>
      <c r="I28" s="381">
        <v>65253554840</v>
      </c>
      <c r="J28" s="385">
        <v>68359442220</v>
      </c>
      <c r="K28" s="385">
        <v>73320432000</v>
      </c>
      <c r="L28" s="385">
        <v>76849608000</v>
      </c>
      <c r="M28" s="385">
        <v>77000000000</v>
      </c>
      <c r="N28" s="386">
        <v>77000000000</v>
      </c>
      <c r="Q28" s="366"/>
    </row>
    <row r="29" spans="1:17" ht="12.75">
      <c r="A29" s="70">
        <v>512</v>
      </c>
      <c r="B29" s="387" t="s">
        <v>230</v>
      </c>
      <c r="C29" s="388">
        <v>23649</v>
      </c>
      <c r="D29" s="388">
        <v>626526</v>
      </c>
      <c r="E29" s="389">
        <v>986888271</v>
      </c>
      <c r="F29" s="389">
        <v>1020516028</v>
      </c>
      <c r="G29" s="389">
        <v>12510504</v>
      </c>
      <c r="H29" s="377">
        <v>532334362</v>
      </c>
      <c r="I29" s="381">
        <v>552789822</v>
      </c>
      <c r="J29" s="236">
        <v>1170799777</v>
      </c>
      <c r="K29" s="236">
        <v>690556464</v>
      </c>
      <c r="L29" s="236">
        <v>804400000</v>
      </c>
      <c r="M29" s="236">
        <v>690500000</v>
      </c>
      <c r="N29" s="239">
        <v>1046200000</v>
      </c>
      <c r="O29" s="70" t="s">
        <v>223</v>
      </c>
      <c r="Q29" s="366"/>
    </row>
    <row r="30" spans="1:17" ht="12.75">
      <c r="A30" s="70">
        <v>512</v>
      </c>
      <c r="B30" s="382" t="s">
        <v>231</v>
      </c>
      <c r="C30" s="383"/>
      <c r="D30" s="383">
        <v>700000</v>
      </c>
      <c r="E30" s="384">
        <v>700000000</v>
      </c>
      <c r="F30" s="384">
        <v>680000000</v>
      </c>
      <c r="G30" s="384">
        <v>700000000</v>
      </c>
      <c r="H30" s="377">
        <v>700000000</v>
      </c>
      <c r="I30" s="381">
        <v>700000000</v>
      </c>
      <c r="J30" s="385">
        <v>700000000</v>
      </c>
      <c r="K30" s="385">
        <v>700000000</v>
      </c>
      <c r="L30" s="385">
        <v>700000000</v>
      </c>
      <c r="M30" s="385">
        <v>700000000</v>
      </c>
      <c r="N30" s="386">
        <v>700000000</v>
      </c>
      <c r="O30" s="70" t="s">
        <v>223</v>
      </c>
      <c r="Q30" s="366"/>
    </row>
    <row r="31" spans="1:17" ht="51">
      <c r="A31" s="70">
        <v>512</v>
      </c>
      <c r="B31" s="382" t="s">
        <v>232</v>
      </c>
      <c r="C31" s="383">
        <v>88975</v>
      </c>
      <c r="D31" s="383">
        <v>113217</v>
      </c>
      <c r="E31" s="384">
        <v>94886587</v>
      </c>
      <c r="F31" s="384">
        <v>95651373</v>
      </c>
      <c r="G31" s="384">
        <v>97997859</v>
      </c>
      <c r="H31" s="392">
        <v>84930741</v>
      </c>
      <c r="I31" s="393">
        <v>86851362</v>
      </c>
      <c r="J31" s="385">
        <v>89979446</v>
      </c>
      <c r="K31" s="385">
        <v>125000000</v>
      </c>
      <c r="L31" s="385">
        <v>128000000</v>
      </c>
      <c r="M31" s="385">
        <v>131000000</v>
      </c>
      <c r="N31" s="386">
        <v>131000000</v>
      </c>
      <c r="O31" s="70" t="s">
        <v>223</v>
      </c>
      <c r="Q31" s="366"/>
    </row>
    <row r="32" spans="1:17" ht="25.5">
      <c r="A32" s="70">
        <v>512</v>
      </c>
      <c r="B32" s="394" t="s">
        <v>233</v>
      </c>
      <c r="C32" s="395"/>
      <c r="D32" s="395"/>
      <c r="E32" s="396"/>
      <c r="F32" s="396"/>
      <c r="G32" s="396"/>
      <c r="H32" s="397">
        <v>2317797</v>
      </c>
      <c r="I32" s="398">
        <v>8030502</v>
      </c>
      <c r="J32" s="399">
        <v>18176583</v>
      </c>
      <c r="K32" s="399">
        <v>36500000</v>
      </c>
      <c r="L32" s="399">
        <v>40000000</v>
      </c>
      <c r="M32" s="399">
        <v>40000000</v>
      </c>
      <c r="N32" s="400">
        <v>40000000</v>
      </c>
      <c r="O32" s="70" t="s">
        <v>223</v>
      </c>
      <c r="Q32" s="366"/>
    </row>
    <row r="33" spans="1:17" ht="15" customHeight="1">
      <c r="A33" s="70">
        <v>512</v>
      </c>
      <c r="B33" s="401" t="s">
        <v>234</v>
      </c>
      <c r="C33" s="395">
        <v>683143</v>
      </c>
      <c r="D33" s="395">
        <v>700120</v>
      </c>
      <c r="E33" s="396">
        <v>1612915316</v>
      </c>
      <c r="F33" s="396">
        <v>1237713469</v>
      </c>
      <c r="G33" s="396">
        <v>1062369841</v>
      </c>
      <c r="H33" s="380">
        <v>810190180.01999998</v>
      </c>
      <c r="I33" s="402">
        <v>879926783</v>
      </c>
      <c r="J33" s="399">
        <v>1254971829</v>
      </c>
      <c r="K33" s="399">
        <v>1348660000</v>
      </c>
      <c r="L33" s="399">
        <v>1433370000</v>
      </c>
      <c r="M33" s="399">
        <v>1371070000</v>
      </c>
      <c r="N33" s="400">
        <v>1275760000</v>
      </c>
      <c r="Q33" s="366"/>
    </row>
    <row r="34" spans="1:17" ht="12.75">
      <c r="A34" s="70">
        <v>512</v>
      </c>
      <c r="B34" s="394" t="s">
        <v>235</v>
      </c>
      <c r="C34" s="403">
        <v>490000</v>
      </c>
      <c r="D34" s="403">
        <v>840000</v>
      </c>
      <c r="E34" s="404">
        <v>500000000</v>
      </c>
      <c r="F34" s="404">
        <v>565000000</v>
      </c>
      <c r="G34" s="404">
        <v>605000000</v>
      </c>
      <c r="H34" s="377">
        <v>605000000</v>
      </c>
      <c r="I34" s="405">
        <v>605000000</v>
      </c>
      <c r="J34" s="399">
        <v>605000000</v>
      </c>
      <c r="K34" s="399">
        <v>605000000</v>
      </c>
      <c r="L34" s="399">
        <v>605000000</v>
      </c>
      <c r="M34" s="399">
        <v>605000000</v>
      </c>
      <c r="N34" s="400">
        <v>605000000</v>
      </c>
      <c r="O34" s="70" t="s">
        <v>223</v>
      </c>
      <c r="Q34" s="366"/>
    </row>
    <row r="35" spans="1:17" ht="25.5">
      <c r="A35" s="70">
        <v>512</v>
      </c>
      <c r="B35" s="394" t="s">
        <v>236</v>
      </c>
      <c r="C35" s="403">
        <v>2532350</v>
      </c>
      <c r="D35" s="403">
        <v>334065</v>
      </c>
      <c r="E35" s="404">
        <v>139000000</v>
      </c>
      <c r="F35" s="404">
        <v>1671880820</v>
      </c>
      <c r="G35" s="404">
        <v>1034323795</v>
      </c>
      <c r="H35" s="236">
        <v>0</v>
      </c>
      <c r="I35" s="258">
        <v>0</v>
      </c>
      <c r="J35" s="258">
        <v>0</v>
      </c>
      <c r="K35" s="258">
        <v>0</v>
      </c>
      <c r="L35" s="258">
        <v>0</v>
      </c>
      <c r="M35" s="258">
        <v>0</v>
      </c>
      <c r="N35" s="240">
        <v>0</v>
      </c>
      <c r="O35" s="70" t="s">
        <v>223</v>
      </c>
      <c r="Q35" s="366"/>
    </row>
    <row r="36" spans="1:17" ht="12.75">
      <c r="A36" s="70">
        <v>513</v>
      </c>
      <c r="B36" s="394" t="s">
        <v>237</v>
      </c>
      <c r="C36" s="403">
        <v>36326978</v>
      </c>
      <c r="D36" s="403">
        <v>34844777</v>
      </c>
      <c r="E36" s="404">
        <v>37229458017</v>
      </c>
      <c r="F36" s="404">
        <v>39027802063</v>
      </c>
      <c r="G36" s="404">
        <v>35729638843</v>
      </c>
      <c r="H36" s="377">
        <v>36687392165.690002</v>
      </c>
      <c r="I36" s="405">
        <v>35352837448</v>
      </c>
      <c r="J36" s="399">
        <v>42748598218</v>
      </c>
      <c r="K36" s="399">
        <v>43600000000</v>
      </c>
      <c r="L36" s="399">
        <v>50500000000</v>
      </c>
      <c r="M36" s="399">
        <v>49500000000</v>
      </c>
      <c r="N36" s="400">
        <v>50000000000</v>
      </c>
      <c r="Q36" s="366"/>
    </row>
    <row r="37" spans="2:17" ht="13.5" thickBot="1">
      <c r="B37" s="406"/>
      <c r="C37" s="407"/>
      <c r="D37" s="407"/>
      <c r="E37" s="408"/>
      <c r="F37" s="408"/>
      <c r="G37" s="408"/>
      <c r="H37" s="237"/>
      <c r="I37" s="237"/>
      <c r="J37" s="237"/>
      <c r="K37" s="409"/>
      <c r="L37" s="409"/>
      <c r="M37" s="409"/>
      <c r="N37" s="410"/>
      <c r="Q37" s="366"/>
    </row>
    <row r="38" spans="2:10" ht="12.75">
      <c r="B38" s="175" t="s">
        <v>240</v>
      </c>
      <c r="C38" s="411"/>
      <c r="D38" s="411"/>
      <c r="E38" s="412"/>
      <c r="F38" s="412"/>
      <c r="G38" s="412"/>
      <c r="H38" s="364"/>
      <c r="I38" s="364"/>
      <c r="J38" s="364"/>
    </row>
    <row r="39" spans="2:14" s="80" customFormat="1" ht="12.75">
      <c r="B39" s="176"/>
      <c r="C39" s="176"/>
      <c r="D39" s="176"/>
      <c r="E39" s="177"/>
      <c r="F39" s="177"/>
      <c r="G39" s="177"/>
      <c r="H39" s="173"/>
      <c r="I39" s="173"/>
      <c r="J39" s="173"/>
      <c r="K39" s="173"/>
      <c r="L39" s="173"/>
      <c r="M39" s="173"/>
      <c r="N39" s="173"/>
    </row>
    <row r="40" spans="2:14" s="80" customFormat="1" ht="12.75">
      <c r="B40" s="238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</row>
    <row r="41" spans="2:14" s="80" customFormat="1" ht="12.75">
      <c r="B41" s="417"/>
      <c r="C41" s="417"/>
      <c r="D41" s="417"/>
      <c r="E41" s="173"/>
      <c r="F41" s="173"/>
      <c r="G41" s="173"/>
      <c r="H41" s="173"/>
      <c r="I41" s="173"/>
      <c r="J41" s="173"/>
      <c r="K41" s="173"/>
      <c r="L41" s="173"/>
      <c r="M41" s="173"/>
      <c r="N41" s="173"/>
    </row>
    <row r="42" spans="2:14" s="80" customFormat="1" ht="12.75">
      <c r="B42" s="417"/>
      <c r="C42" s="417"/>
      <c r="D42" s="417"/>
      <c r="E42" s="173"/>
      <c r="F42" s="173"/>
      <c r="G42" s="173"/>
      <c r="H42" s="173"/>
      <c r="I42" s="173"/>
      <c r="J42" s="173"/>
      <c r="K42" s="173"/>
      <c r="L42" s="173"/>
      <c r="M42" s="173"/>
      <c r="N42" s="173"/>
    </row>
    <row r="43" spans="1:15" s="80" customFormat="1" ht="12.75">
      <c r="A43" s="174"/>
      <c r="B43" s="178"/>
      <c r="C43" s="178"/>
      <c r="D43" s="178"/>
      <c r="E43" s="416"/>
      <c r="F43" s="416"/>
      <c r="G43" s="416"/>
      <c r="H43" s="179"/>
      <c r="I43" s="179"/>
      <c r="J43" s="179"/>
      <c r="K43" s="179"/>
      <c r="L43" s="179"/>
      <c r="M43" s="179"/>
      <c r="N43" s="179"/>
      <c r="O43" s="174"/>
    </row>
    <row r="44" spans="1:15" s="80" customFormat="1" ht="12.75">
      <c r="A44" s="174"/>
      <c r="B44" s="418"/>
      <c r="C44" s="418"/>
      <c r="D44" s="418"/>
      <c r="E44" s="419"/>
      <c r="F44" s="419"/>
      <c r="G44" s="419"/>
      <c r="H44" s="413"/>
      <c r="I44" s="413"/>
      <c r="J44" s="413"/>
      <c r="K44" s="413"/>
      <c r="L44" s="413"/>
      <c r="M44" s="413"/>
      <c r="N44" s="413"/>
      <c r="O44" s="174"/>
    </row>
    <row r="45" spans="1:15" s="80" customFormat="1" ht="12.75">
      <c r="A45" s="174"/>
      <c r="B45" s="418"/>
      <c r="C45" s="418"/>
      <c r="D45" s="418"/>
      <c r="E45" s="419"/>
      <c r="F45" s="419"/>
      <c r="G45" s="419"/>
      <c r="H45" s="413"/>
      <c r="I45" s="413"/>
      <c r="J45" s="413"/>
      <c r="K45" s="413"/>
      <c r="L45" s="413"/>
      <c r="M45" s="413"/>
      <c r="N45" s="413"/>
      <c r="O45" s="174"/>
    </row>
    <row r="46" spans="1:15" s="80" customFormat="1" ht="12.75">
      <c r="A46" s="174"/>
      <c r="B46" s="418"/>
      <c r="C46" s="418"/>
      <c r="D46" s="418"/>
      <c r="E46" s="419"/>
      <c r="F46" s="419"/>
      <c r="G46" s="419"/>
      <c r="H46" s="413"/>
      <c r="I46" s="413"/>
      <c r="J46" s="413"/>
      <c r="K46" s="413"/>
      <c r="L46" s="413"/>
      <c r="M46" s="413"/>
      <c r="N46" s="413"/>
      <c r="O46" s="174"/>
    </row>
    <row r="47" spans="1:15" s="80" customFormat="1" ht="12.75">
      <c r="A47" s="174"/>
      <c r="B47" s="418"/>
      <c r="C47" s="418"/>
      <c r="D47" s="418"/>
      <c r="E47" s="419"/>
      <c r="F47" s="419"/>
      <c r="G47" s="419"/>
      <c r="H47" s="413"/>
      <c r="I47" s="413"/>
      <c r="J47" s="413"/>
      <c r="K47" s="413"/>
      <c r="L47" s="413"/>
      <c r="M47" s="413"/>
      <c r="N47" s="413"/>
      <c r="O47" s="174"/>
    </row>
    <row r="48" spans="1:15" s="80" customFormat="1" ht="12.75">
      <c r="A48" s="174"/>
      <c r="B48" s="418"/>
      <c r="C48" s="418"/>
      <c r="D48" s="418"/>
      <c r="E48" s="419"/>
      <c r="F48" s="419"/>
      <c r="G48" s="419"/>
      <c r="H48" s="413"/>
      <c r="I48" s="413"/>
      <c r="J48" s="413"/>
      <c r="K48" s="413"/>
      <c r="L48" s="413"/>
      <c r="M48" s="413"/>
      <c r="N48" s="413"/>
      <c r="O48" s="174"/>
    </row>
    <row r="49" spans="1:15" s="80" customFormat="1" ht="12.75">
      <c r="A49" s="174"/>
      <c r="B49" s="418"/>
      <c r="C49" s="418"/>
      <c r="D49" s="418"/>
      <c r="E49" s="419"/>
      <c r="F49" s="419"/>
      <c r="G49" s="419"/>
      <c r="H49" s="413"/>
      <c r="I49" s="413"/>
      <c r="J49" s="413"/>
      <c r="K49" s="413"/>
      <c r="L49" s="413"/>
      <c r="M49" s="413"/>
      <c r="N49" s="413"/>
      <c r="O49" s="174"/>
    </row>
    <row r="50" spans="1:15" s="80" customFormat="1" ht="12.75">
      <c r="A50" s="174"/>
      <c r="B50" s="418"/>
      <c r="C50" s="418"/>
      <c r="D50" s="418"/>
      <c r="E50" s="419"/>
      <c r="F50" s="419"/>
      <c r="G50" s="419"/>
      <c r="H50" s="413"/>
      <c r="I50" s="413"/>
      <c r="J50" s="413"/>
      <c r="K50" s="413"/>
      <c r="L50" s="413"/>
      <c r="M50" s="413"/>
      <c r="N50" s="413"/>
      <c r="O50" s="174"/>
    </row>
    <row r="51" spans="1:15" s="80" customFormat="1" ht="12.75">
      <c r="A51" s="174"/>
      <c r="B51" s="420"/>
      <c r="C51" s="420"/>
      <c r="D51" s="420"/>
      <c r="E51" s="419"/>
      <c r="F51" s="421"/>
      <c r="G51" s="421"/>
      <c r="H51" s="414"/>
      <c r="I51" s="414"/>
      <c r="J51" s="414"/>
      <c r="K51" s="414"/>
      <c r="L51" s="413"/>
      <c r="M51" s="413"/>
      <c r="N51" s="413"/>
      <c r="O51" s="174"/>
    </row>
    <row r="52" spans="1:15" s="80" customFormat="1" ht="13.5">
      <c r="A52" s="174"/>
      <c r="B52" s="422"/>
      <c r="C52" s="422"/>
      <c r="D52" s="422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174"/>
    </row>
    <row r="53" spans="1:15" s="80" customFormat="1" ht="13.5">
      <c r="A53" s="174"/>
      <c r="B53" s="422"/>
      <c r="C53" s="422"/>
      <c r="D53" s="422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174"/>
    </row>
    <row r="54" spans="1:15" s="80" customFormat="1" ht="13.5">
      <c r="A54" s="174"/>
      <c r="B54" s="178"/>
      <c r="C54" s="178"/>
      <c r="D54" s="178"/>
      <c r="E54" s="423"/>
      <c r="F54" s="423"/>
      <c r="G54" s="423"/>
      <c r="H54" s="415"/>
      <c r="I54" s="415"/>
      <c r="J54" s="415"/>
      <c r="K54" s="179"/>
      <c r="L54" s="179"/>
      <c r="M54" s="179"/>
      <c r="N54" s="179"/>
      <c r="O54" s="174"/>
    </row>
    <row r="55" spans="1:15" s="80" customFormat="1" ht="12.75">
      <c r="A55" s="174"/>
      <c r="B55" s="178"/>
      <c r="C55" s="178"/>
      <c r="D55" s="178"/>
      <c r="E55" s="423"/>
      <c r="F55" s="423"/>
      <c r="G55" s="423"/>
      <c r="H55" s="179"/>
      <c r="I55" s="179"/>
      <c r="J55" s="179"/>
      <c r="K55" s="179"/>
      <c r="L55" s="179"/>
      <c r="M55" s="179"/>
      <c r="N55" s="179"/>
      <c r="O55" s="174"/>
    </row>
    <row r="56" spans="1:15" s="80" customFormat="1" ht="12.75">
      <c r="A56" s="174"/>
      <c r="B56" s="424"/>
      <c r="C56" s="178"/>
      <c r="D56" s="178"/>
      <c r="E56" s="416"/>
      <c r="F56" s="416"/>
      <c r="G56" s="416"/>
      <c r="H56" s="179"/>
      <c r="I56" s="179"/>
      <c r="J56" s="179"/>
      <c r="K56" s="179"/>
      <c r="L56" s="179"/>
      <c r="M56" s="179"/>
      <c r="N56" s="179"/>
      <c r="O56" s="174"/>
    </row>
    <row r="57" spans="1:15" s="80" customFormat="1" ht="12.75">
      <c r="A57" s="174"/>
      <c r="B57" s="424"/>
      <c r="C57" s="178"/>
      <c r="D57" s="178"/>
      <c r="E57" s="416"/>
      <c r="F57" s="416"/>
      <c r="G57" s="416"/>
      <c r="H57" s="179"/>
      <c r="I57" s="179"/>
      <c r="J57" s="179"/>
      <c r="K57" s="179"/>
      <c r="L57" s="179"/>
      <c r="M57" s="179"/>
      <c r="N57" s="179"/>
      <c r="O57" s="174"/>
    </row>
    <row r="58" spans="1:15" s="80" customFormat="1" ht="12.75">
      <c r="A58" s="174"/>
      <c r="B58" s="424"/>
      <c r="C58" s="178"/>
      <c r="D58" s="178"/>
      <c r="E58" s="178"/>
      <c r="F58" s="178"/>
      <c r="G58" s="416"/>
      <c r="H58" s="179"/>
      <c r="I58" s="179"/>
      <c r="J58" s="179"/>
      <c r="K58" s="179"/>
      <c r="L58" s="179"/>
      <c r="M58" s="179"/>
      <c r="N58" s="179"/>
      <c r="O58" s="174"/>
    </row>
    <row r="59" spans="1:15" s="80" customFormat="1" ht="12.75">
      <c r="A59" s="174"/>
      <c r="B59" s="424"/>
      <c r="C59" s="178"/>
      <c r="D59" s="178"/>
      <c r="E59" s="178"/>
      <c r="F59" s="178"/>
      <c r="G59" s="416"/>
      <c r="H59" s="179"/>
      <c r="I59" s="179"/>
      <c r="J59" s="179"/>
      <c r="K59" s="179"/>
      <c r="L59" s="179"/>
      <c r="M59" s="179"/>
      <c r="N59" s="179"/>
      <c r="O59" s="174"/>
    </row>
    <row r="60" spans="1:15" s="80" customFormat="1" ht="12.75">
      <c r="A60" s="174"/>
      <c r="B60" s="424"/>
      <c r="C60" s="178"/>
      <c r="D60" s="178"/>
      <c r="E60" s="178"/>
      <c r="F60" s="178"/>
      <c r="G60" s="416"/>
      <c r="H60" s="179"/>
      <c r="I60" s="179"/>
      <c r="J60" s="179"/>
      <c r="K60" s="179"/>
      <c r="L60" s="179"/>
      <c r="M60" s="179"/>
      <c r="N60" s="179"/>
      <c r="O60" s="174"/>
    </row>
    <row r="61" spans="1:15" s="80" customFormat="1" ht="12.75">
      <c r="A61" s="174"/>
      <c r="B61" s="424"/>
      <c r="C61" s="178"/>
      <c r="D61" s="178"/>
      <c r="E61" s="178"/>
      <c r="F61" s="178"/>
      <c r="G61" s="416"/>
      <c r="H61" s="179"/>
      <c r="I61" s="179"/>
      <c r="J61" s="179"/>
      <c r="K61" s="179"/>
      <c r="L61" s="179"/>
      <c r="M61" s="179"/>
      <c r="N61" s="179"/>
      <c r="O61" s="174"/>
    </row>
    <row r="62" spans="1:15" s="80" customFormat="1" ht="12.75">
      <c r="A62" s="174"/>
      <c r="B62" s="424"/>
      <c r="C62" s="178"/>
      <c r="D62" s="178"/>
      <c r="E62" s="178"/>
      <c r="F62" s="178"/>
      <c r="G62" s="416"/>
      <c r="H62" s="179"/>
      <c r="I62" s="179"/>
      <c r="J62" s="179"/>
      <c r="K62" s="179"/>
      <c r="L62" s="179"/>
      <c r="M62" s="179"/>
      <c r="N62" s="179"/>
      <c r="O62" s="174"/>
    </row>
    <row r="63" spans="1:15" s="80" customFormat="1" ht="12.75">
      <c r="A63" s="174"/>
      <c r="B63" s="424"/>
      <c r="C63" s="178"/>
      <c r="D63" s="178"/>
      <c r="E63" s="178"/>
      <c r="F63" s="178"/>
      <c r="G63" s="416"/>
      <c r="H63" s="179"/>
      <c r="I63" s="179"/>
      <c r="J63" s="179"/>
      <c r="K63" s="179"/>
      <c r="L63" s="179"/>
      <c r="M63" s="179"/>
      <c r="N63" s="179"/>
      <c r="O63" s="174"/>
    </row>
    <row r="64" spans="1:15" s="80" customFormat="1" ht="12.75">
      <c r="A64" s="174"/>
      <c r="B64" s="424"/>
      <c r="C64" s="178"/>
      <c r="D64" s="178"/>
      <c r="E64" s="178"/>
      <c r="F64" s="178"/>
      <c r="G64" s="416"/>
      <c r="H64" s="179"/>
      <c r="I64" s="179"/>
      <c r="J64" s="179"/>
      <c r="K64" s="179"/>
      <c r="L64" s="179"/>
      <c r="M64" s="179"/>
      <c r="N64" s="179"/>
      <c r="O64" s="174"/>
    </row>
    <row r="65" spans="1:15" s="80" customFormat="1" ht="12.75">
      <c r="A65" s="174"/>
      <c r="B65" s="424"/>
      <c r="C65" s="178"/>
      <c r="D65" s="178"/>
      <c r="E65" s="178"/>
      <c r="F65" s="178"/>
      <c r="G65" s="416"/>
      <c r="H65" s="179"/>
      <c r="I65" s="179"/>
      <c r="J65" s="179"/>
      <c r="K65" s="179"/>
      <c r="L65" s="179"/>
      <c r="M65" s="179"/>
      <c r="N65" s="179"/>
      <c r="O65" s="174"/>
    </row>
    <row r="66" spans="1:15" s="80" customFormat="1" ht="12.75">
      <c r="A66" s="174"/>
      <c r="B66" s="424"/>
      <c r="C66" s="178"/>
      <c r="D66" s="178"/>
      <c r="E66" s="178"/>
      <c r="F66" s="178"/>
      <c r="G66" s="416"/>
      <c r="H66" s="179"/>
      <c r="I66" s="179"/>
      <c r="J66" s="179"/>
      <c r="K66" s="179"/>
      <c r="L66" s="179"/>
      <c r="M66" s="179"/>
      <c r="N66" s="179"/>
      <c r="O66" s="174"/>
    </row>
    <row r="67" spans="1:15" s="80" customFormat="1" ht="12.75">
      <c r="A67" s="174"/>
      <c r="B67" s="424"/>
      <c r="C67" s="178"/>
      <c r="D67" s="178"/>
      <c r="E67" s="178"/>
      <c r="F67" s="178"/>
      <c r="G67" s="416"/>
      <c r="H67" s="179"/>
      <c r="I67" s="179"/>
      <c r="J67" s="179"/>
      <c r="K67" s="179"/>
      <c r="L67" s="179"/>
      <c r="M67" s="179"/>
      <c r="N67" s="179"/>
      <c r="O67" s="174"/>
    </row>
    <row r="68" spans="1:15" s="80" customFormat="1" ht="12.75">
      <c r="A68" s="174"/>
      <c r="B68" s="424"/>
      <c r="C68" s="178"/>
      <c r="D68" s="178"/>
      <c r="E68" s="178"/>
      <c r="F68" s="178"/>
      <c r="G68" s="416"/>
      <c r="H68" s="179"/>
      <c r="I68" s="179"/>
      <c r="J68" s="179"/>
      <c r="K68" s="179"/>
      <c r="L68" s="179"/>
      <c r="M68" s="179"/>
      <c r="N68" s="179"/>
      <c r="O68" s="174"/>
    </row>
    <row r="69" spans="1:15" s="80" customFormat="1" ht="12.75">
      <c r="A69" s="174"/>
      <c r="B69" s="424"/>
      <c r="C69" s="178"/>
      <c r="D69" s="178"/>
      <c r="E69" s="178"/>
      <c r="F69" s="178"/>
      <c r="G69" s="416"/>
      <c r="H69" s="179"/>
      <c r="I69" s="179"/>
      <c r="J69" s="179"/>
      <c r="K69" s="179"/>
      <c r="L69" s="179"/>
      <c r="M69" s="179"/>
      <c r="N69" s="179"/>
      <c r="O69" s="174"/>
    </row>
    <row r="70" spans="1:15" s="80" customFormat="1" ht="12.75">
      <c r="A70" s="174"/>
      <c r="B70" s="424"/>
      <c r="C70" s="178"/>
      <c r="D70" s="178"/>
      <c r="E70" s="178"/>
      <c r="F70" s="178"/>
      <c r="G70" s="416"/>
      <c r="H70" s="179"/>
      <c r="I70" s="179"/>
      <c r="J70" s="179"/>
      <c r="K70" s="179"/>
      <c r="L70" s="179"/>
      <c r="M70" s="179"/>
      <c r="N70" s="179"/>
      <c r="O70" s="174"/>
    </row>
    <row r="71" spans="1:15" s="80" customFormat="1" ht="12.75">
      <c r="A71" s="174"/>
      <c r="B71" s="424"/>
      <c r="C71" s="178"/>
      <c r="D71" s="178"/>
      <c r="E71" s="178"/>
      <c r="F71" s="178"/>
      <c r="G71" s="416"/>
      <c r="H71" s="179"/>
      <c r="I71" s="179"/>
      <c r="J71" s="179"/>
      <c r="K71" s="179"/>
      <c r="L71" s="179"/>
      <c r="M71" s="179"/>
      <c r="N71" s="179"/>
      <c r="O71" s="174"/>
    </row>
    <row r="72" spans="1:15" s="80" customFormat="1" ht="12.75">
      <c r="A72" s="174"/>
      <c r="B72" s="424"/>
      <c r="C72" s="178"/>
      <c r="D72" s="178"/>
      <c r="E72" s="178"/>
      <c r="F72" s="178"/>
      <c r="G72" s="416"/>
      <c r="H72" s="179"/>
      <c r="I72" s="179"/>
      <c r="J72" s="179"/>
      <c r="K72" s="179"/>
      <c r="L72" s="179"/>
      <c r="M72" s="179"/>
      <c r="N72" s="179"/>
      <c r="O72" s="174"/>
    </row>
    <row r="73" spans="1:15" s="80" customFormat="1" ht="12.75">
      <c r="A73" s="174"/>
      <c r="B73" s="424"/>
      <c r="C73" s="178"/>
      <c r="D73" s="178"/>
      <c r="E73" s="178"/>
      <c r="F73" s="178"/>
      <c r="G73" s="416"/>
      <c r="H73" s="179"/>
      <c r="I73" s="179"/>
      <c r="J73" s="179"/>
      <c r="K73" s="179"/>
      <c r="L73" s="179"/>
      <c r="M73" s="179"/>
      <c r="N73" s="179"/>
      <c r="O73" s="174"/>
    </row>
    <row r="74" spans="1:15" s="80" customFormat="1" ht="12.75">
      <c r="A74" s="174"/>
      <c r="B74" s="424"/>
      <c r="C74" s="178"/>
      <c r="D74" s="178"/>
      <c r="E74" s="178"/>
      <c r="F74" s="178"/>
      <c r="G74" s="416"/>
      <c r="H74" s="416"/>
      <c r="I74" s="416"/>
      <c r="J74" s="416"/>
      <c r="K74" s="416"/>
      <c r="L74" s="416"/>
      <c r="M74" s="416"/>
      <c r="N74" s="416"/>
      <c r="O74" s="174"/>
    </row>
    <row r="75" spans="1:15" s="80" customFormat="1" ht="12.75">
      <c r="A75" s="174"/>
      <c r="B75" s="178"/>
      <c r="C75" s="178"/>
      <c r="D75" s="178"/>
      <c r="E75" s="178"/>
      <c r="F75" s="178"/>
      <c r="G75" s="178"/>
      <c r="H75" s="416"/>
      <c r="I75" s="416"/>
      <c r="J75" s="416"/>
      <c r="K75" s="179"/>
      <c r="L75" s="179"/>
      <c r="M75" s="179"/>
      <c r="N75" s="179"/>
      <c r="O75" s="174"/>
    </row>
    <row r="76" spans="1:15" s="80" customFormat="1" ht="12.75">
      <c r="A76" s="174"/>
      <c r="B76" s="178"/>
      <c r="C76" s="178"/>
      <c r="D76" s="178"/>
      <c r="E76" s="178"/>
      <c r="F76" s="178"/>
      <c r="G76" s="178"/>
      <c r="H76" s="178"/>
      <c r="I76" s="178"/>
      <c r="J76" s="178"/>
      <c r="K76" s="179"/>
      <c r="L76" s="179"/>
      <c r="M76" s="179"/>
      <c r="N76" s="179"/>
      <c r="O76" s="174"/>
    </row>
    <row r="77" spans="1:15" s="80" customFormat="1" ht="12.75">
      <c r="A77" s="174"/>
      <c r="B77" s="178"/>
      <c r="C77" s="178"/>
      <c r="D77" s="178"/>
      <c r="E77" s="178"/>
      <c r="F77" s="178"/>
      <c r="G77" s="178"/>
      <c r="H77" s="178"/>
      <c r="I77" s="178"/>
      <c r="J77" s="178"/>
      <c r="K77" s="179"/>
      <c r="L77" s="179"/>
      <c r="M77" s="179"/>
      <c r="N77" s="179"/>
      <c r="O77" s="174"/>
    </row>
    <row r="78" spans="1:15" s="80" customFormat="1" ht="12.75">
      <c r="A78" s="174"/>
      <c r="B78" s="178"/>
      <c r="C78" s="178"/>
      <c r="D78" s="178"/>
      <c r="E78" s="178"/>
      <c r="F78" s="178"/>
      <c r="G78" s="178"/>
      <c r="H78" s="178"/>
      <c r="I78" s="178"/>
      <c r="J78" s="178"/>
      <c r="K78" s="179"/>
      <c r="L78" s="179"/>
      <c r="M78" s="179"/>
      <c r="N78" s="179"/>
      <c r="O78" s="174"/>
    </row>
    <row r="79" spans="2:14" s="80" customFormat="1" ht="12.75">
      <c r="B79" s="81"/>
      <c r="C79" s="81"/>
      <c r="D79" s="81"/>
      <c r="E79" s="81"/>
      <c r="F79" s="81"/>
      <c r="G79" s="81"/>
      <c r="H79" s="81"/>
      <c r="I79" s="81"/>
      <c r="J79" s="81"/>
      <c r="K79" s="173"/>
      <c r="L79" s="173"/>
      <c r="M79" s="173"/>
      <c r="N79" s="173"/>
    </row>
  </sheetData>
  <mergeCells count="1">
    <mergeCell ref="B2:N2"/>
  </mergeCells>
  <pageMargins left="0.551181102362205" right="0.47244094488189" top="0.984251968503937" bottom="0.984251968503937" header="0.511811023622047" footer="0.511811023622047"/>
  <pageSetup orientation="landscape" paperSize="9" scale="67" r:id="rId3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19"/>
  <sheetViews>
    <sheetView workbookViewId="0" topLeftCell="A1"/>
  </sheetViews>
  <sheetFormatPr defaultRowHeight="15"/>
  <cols>
    <col min="1" max="1" width="18.7142857142857" style="277" customWidth="1"/>
    <col min="2" max="2" width="19" style="277" customWidth="1"/>
    <col min="3" max="3" width="80" style="278" customWidth="1"/>
    <col min="4" max="4" width="20.2857142857143" style="277" customWidth="1"/>
    <col min="5" max="5" width="22" style="277" customWidth="1"/>
    <col min="6" max="6" width="24.1428571428571" style="277" customWidth="1"/>
    <col min="7" max="7" width="22" style="277" bestFit="1" customWidth="1"/>
    <col min="8" max="16384" width="9.28571428571429" style="277"/>
  </cols>
  <sheetData>
    <row r="1" ht="15.75">
      <c r="B1" s="353" t="s">
        <v>512</v>
      </c>
    </row>
    <row r="2" ht="15">
      <c r="B2" s="354" t="s">
        <v>419</v>
      </c>
    </row>
    <row r="3" spans="2:3" ht="15">
      <c r="B3" s="277" t="s">
        <v>513</v>
      </c>
      <c r="C3" s="278" t="s">
        <v>421</v>
      </c>
    </row>
    <row r="4" spans="2:3" ht="15">
      <c r="B4" s="277" t="s">
        <v>514</v>
      </c>
      <c r="C4" s="278" t="s">
        <v>515</v>
      </c>
    </row>
    <row r="5" ht="15">
      <c r="E5" s="277" t="s">
        <v>1</v>
      </c>
    </row>
    <row r="7" spans="1:7" ht="15">
      <c r="A7" s="431"/>
      <c r="B7" s="431"/>
      <c r="C7" s="431"/>
      <c r="D7" s="545" t="s">
        <v>422</v>
      </c>
      <c r="E7" s="431"/>
      <c r="F7"/>
      <c r="G7"/>
    </row>
    <row r="8" spans="1:7" ht="15">
      <c r="A8" s="545" t="s">
        <v>66</v>
      </c>
      <c r="B8" s="545" t="s">
        <v>423</v>
      </c>
      <c r="C8" s="546" t="s">
        <v>516</v>
      </c>
      <c r="D8" s="431" t="s">
        <v>425</v>
      </c>
      <c r="E8" s="431" t="s">
        <v>426</v>
      </c>
      <c r="F8"/>
      <c r="G8"/>
    </row>
    <row r="9" spans="1:7" ht="15">
      <c r="A9" s="431" t="s">
        <v>517</v>
      </c>
      <c r="B9" s="433">
        <v>43480</v>
      </c>
      <c r="C9" s="432" t="s">
        <v>518</v>
      </c>
      <c r="D9" s="434">
        <v>4407124</v>
      </c>
      <c r="E9" s="434">
        <v>4407124</v>
      </c>
      <c r="F9"/>
      <c r="G9"/>
    </row>
    <row r="10" spans="1:6" ht="15">
      <c r="A10" s="431"/>
      <c r="B10" s="431"/>
      <c r="C10" s="432" t="s">
        <v>519</v>
      </c>
      <c r="D10" s="434">
        <v>-175200</v>
      </c>
      <c r="E10" s="434">
        <v>-175200</v>
      </c>
      <c r="F10"/>
    </row>
    <row r="11" spans="1:6" ht="15">
      <c r="A11" s="431"/>
      <c r="B11" s="431"/>
      <c r="C11" s="432" t="s">
        <v>520</v>
      </c>
      <c r="D11" s="434">
        <v>1586564</v>
      </c>
      <c r="E11" s="434">
        <v>1586564</v>
      </c>
      <c r="F11"/>
    </row>
    <row r="12" spans="1:6" ht="15">
      <c r="A12" s="431"/>
      <c r="B12" s="431"/>
      <c r="C12" s="432" t="s">
        <v>521</v>
      </c>
      <c r="D12" s="434">
        <v>7601353</v>
      </c>
      <c r="E12" s="434">
        <v>7601353</v>
      </c>
      <c r="F12"/>
    </row>
    <row r="13" spans="1:6" ht="15">
      <c r="A13" s="431"/>
      <c r="B13" s="431"/>
      <c r="C13" s="432" t="s">
        <v>522</v>
      </c>
      <c r="D13" s="434">
        <v>2736487</v>
      </c>
      <c r="E13" s="434">
        <v>2736487</v>
      </c>
      <c r="F13"/>
    </row>
    <row r="14" spans="1:6" ht="15">
      <c r="A14" s="431"/>
      <c r="B14" s="431"/>
      <c r="C14" s="431" t="s">
        <v>523</v>
      </c>
      <c r="D14" s="434">
        <v>-163200</v>
      </c>
      <c r="E14" s="434">
        <v>-163200</v>
      </c>
      <c r="F14"/>
    </row>
    <row r="15" spans="1:6" ht="30">
      <c r="A15" s="431"/>
      <c r="B15" s="432" t="s">
        <v>524</v>
      </c>
      <c r="C15" s="432"/>
      <c r="D15" s="434">
        <v>15993128</v>
      </c>
      <c r="E15" s="434">
        <v>15993128</v>
      </c>
      <c r="F15"/>
    </row>
    <row r="16" spans="1:6" ht="15">
      <c r="A16" s="431"/>
      <c r="B16" s="433">
        <v>43539</v>
      </c>
      <c r="C16" s="432" t="s">
        <v>525</v>
      </c>
      <c r="D16" s="434">
        <v>-353245</v>
      </c>
      <c r="E16" s="434">
        <v>-353245</v>
      </c>
      <c r="F16"/>
    </row>
    <row r="17" spans="1:6" ht="15">
      <c r="A17" s="431"/>
      <c r="B17" s="431"/>
      <c r="C17" s="431" t="s">
        <v>526</v>
      </c>
      <c r="D17" s="434">
        <v>-550000</v>
      </c>
      <c r="E17" s="434">
        <v>-550000</v>
      </c>
      <c r="F17"/>
    </row>
    <row r="18" spans="1:6" ht="30">
      <c r="A18" s="431"/>
      <c r="B18" s="432" t="s">
        <v>527</v>
      </c>
      <c r="C18" s="432"/>
      <c r="D18" s="434">
        <v>-903245</v>
      </c>
      <c r="E18" s="434">
        <v>-903245</v>
      </c>
      <c r="F18"/>
    </row>
    <row r="19" spans="1:6" ht="15">
      <c r="A19" s="431"/>
      <c r="B19" s="433">
        <v>43587</v>
      </c>
      <c r="C19" s="432" t="s">
        <v>528</v>
      </c>
      <c r="D19" s="434"/>
      <c r="E19" s="434">
        <v>163200</v>
      </c>
      <c r="F19"/>
    </row>
    <row r="20" spans="1:6" ht="15">
      <c r="A20" s="431"/>
      <c r="B20" s="432" t="s">
        <v>464</v>
      </c>
      <c r="C20" s="432"/>
      <c r="D20" s="434"/>
      <c r="E20" s="434">
        <v>163200</v>
      </c>
      <c r="F20"/>
    </row>
    <row r="21" spans="1:6" ht="30">
      <c r="A21" s="435" t="s">
        <v>529</v>
      </c>
      <c r="B21" s="435"/>
      <c r="C21" s="435"/>
      <c r="D21" s="436">
        <v>15089883</v>
      </c>
      <c r="E21" s="436">
        <v>15253083</v>
      </c>
      <c r="F21"/>
    </row>
    <row r="22" spans="1:6" ht="15">
      <c r="A22" s="431" t="s">
        <v>530</v>
      </c>
      <c r="B22" s="433">
        <v>43480</v>
      </c>
      <c r="C22" s="432" t="s">
        <v>518</v>
      </c>
      <c r="D22" s="434">
        <v>13967787</v>
      </c>
      <c r="E22" s="434">
        <v>13967787</v>
      </c>
      <c r="F22"/>
    </row>
    <row r="23" spans="1:6" ht="15">
      <c r="A23" s="431"/>
      <c r="B23" s="431"/>
      <c r="C23" s="432" t="s">
        <v>519</v>
      </c>
      <c r="D23" s="434">
        <v>-13321700</v>
      </c>
      <c r="E23" s="434">
        <v>-13321700</v>
      </c>
      <c r="F23"/>
    </row>
    <row r="24" spans="1:6" ht="15">
      <c r="A24" s="431"/>
      <c r="B24" s="431"/>
      <c r="C24" s="432" t="s">
        <v>520</v>
      </c>
      <c r="D24" s="434">
        <v>499026</v>
      </c>
      <c r="E24" s="434">
        <v>499026</v>
      </c>
      <c r="F24"/>
    </row>
    <row r="25" spans="1:6" ht="15">
      <c r="A25" s="431"/>
      <c r="B25" s="431"/>
      <c r="C25" s="431" t="s">
        <v>523</v>
      </c>
      <c r="D25" s="434">
        <v>-8697900</v>
      </c>
      <c r="E25" s="434">
        <v>-8697900</v>
      </c>
      <c r="F25"/>
    </row>
    <row r="26" spans="1:6" ht="30">
      <c r="A26" s="431"/>
      <c r="B26" s="432" t="s">
        <v>524</v>
      </c>
      <c r="C26" s="432"/>
      <c r="D26" s="434">
        <v>-7552787</v>
      </c>
      <c r="E26" s="434">
        <v>-7552787</v>
      </c>
      <c r="F26"/>
    </row>
    <row r="27" spans="1:6" ht="15">
      <c r="A27" s="431"/>
      <c r="B27" s="433">
        <v>43539</v>
      </c>
      <c r="C27" s="432" t="s">
        <v>525</v>
      </c>
      <c r="D27" s="434">
        <v>-962120</v>
      </c>
      <c r="E27" s="434">
        <v>-962120</v>
      </c>
      <c r="F27"/>
    </row>
    <row r="28" spans="1:5" ht="15">
      <c r="A28" s="431"/>
      <c r="B28" s="431"/>
      <c r="C28" s="432" t="s">
        <v>531</v>
      </c>
      <c r="D28" s="434">
        <v>1975145</v>
      </c>
      <c r="E28" s="434">
        <v>1975145</v>
      </c>
    </row>
    <row r="29" spans="1:5" ht="15">
      <c r="A29" s="431"/>
      <c r="B29" s="431"/>
      <c r="C29" s="432" t="s">
        <v>532</v>
      </c>
      <c r="D29" s="434">
        <v>671549</v>
      </c>
      <c r="E29" s="434">
        <v>671549</v>
      </c>
    </row>
    <row r="30" spans="1:5" ht="15">
      <c r="A30" s="431"/>
      <c r="B30" s="431"/>
      <c r="C30" s="432" t="s">
        <v>533</v>
      </c>
      <c r="D30" s="434">
        <v>-4843107</v>
      </c>
      <c r="E30" s="434"/>
    </row>
    <row r="31" spans="1:5" ht="15">
      <c r="A31" s="431"/>
      <c r="B31" s="431"/>
      <c r="C31" s="431" t="s">
        <v>534</v>
      </c>
      <c r="D31" s="434">
        <v>8749200</v>
      </c>
      <c r="E31" s="434">
        <v>10316100</v>
      </c>
    </row>
    <row r="32" spans="1:5" ht="30">
      <c r="A32" s="431"/>
      <c r="B32" s="432" t="s">
        <v>527</v>
      </c>
      <c r="C32" s="432"/>
      <c r="D32" s="434">
        <v>5590667</v>
      </c>
      <c r="E32" s="434">
        <v>12000674</v>
      </c>
    </row>
    <row r="33" spans="1:5" ht="15">
      <c r="A33" s="431"/>
      <c r="B33" s="433">
        <v>43587</v>
      </c>
      <c r="C33" s="432" t="s">
        <v>535</v>
      </c>
      <c r="D33" s="434">
        <v>0</v>
      </c>
      <c r="E33" s="434">
        <v>2000000</v>
      </c>
    </row>
    <row r="34" spans="1:5" ht="15">
      <c r="A34" s="431"/>
      <c r="B34" s="432" t="s">
        <v>464</v>
      </c>
      <c r="C34" s="432"/>
      <c r="D34" s="434">
        <v>0</v>
      </c>
      <c r="E34" s="434">
        <v>2000000</v>
      </c>
    </row>
    <row r="35" spans="1:5" ht="15">
      <c r="A35" s="435" t="s">
        <v>536</v>
      </c>
      <c r="B35" s="435"/>
      <c r="C35" s="435"/>
      <c r="D35" s="436">
        <v>-1962120</v>
      </c>
      <c r="E35" s="436">
        <v>6447887</v>
      </c>
    </row>
    <row r="36" spans="1:6" ht="15">
      <c r="A36" s="431" t="s">
        <v>427</v>
      </c>
      <c r="B36" s="433">
        <v>43480</v>
      </c>
      <c r="C36" s="432" t="s">
        <v>518</v>
      </c>
      <c r="D36" s="434">
        <v>7757638</v>
      </c>
      <c r="E36" s="434">
        <v>7757638</v>
      </c>
      <c r="F36" s="542"/>
    </row>
    <row r="37" spans="1:5" ht="15">
      <c r="A37" s="431"/>
      <c r="B37" s="431"/>
      <c r="C37" s="432" t="s">
        <v>519</v>
      </c>
      <c r="D37" s="434">
        <v>-4927200</v>
      </c>
      <c r="E37" s="434">
        <v>-4927200</v>
      </c>
    </row>
    <row r="38" spans="1:5" ht="15">
      <c r="A38" s="431"/>
      <c r="B38" s="431"/>
      <c r="C38" s="432" t="s">
        <v>520</v>
      </c>
      <c r="D38" s="434">
        <v>1117502</v>
      </c>
      <c r="E38" s="434">
        <v>1117502</v>
      </c>
    </row>
    <row r="39" spans="1:5" ht="15">
      <c r="A39" s="431"/>
      <c r="B39" s="431"/>
      <c r="C39" s="431" t="s">
        <v>523</v>
      </c>
      <c r="D39" s="434">
        <v>-3806248</v>
      </c>
      <c r="E39" s="434">
        <v>-3445420</v>
      </c>
    </row>
    <row r="40" spans="1:5" ht="30">
      <c r="A40" s="431"/>
      <c r="B40" s="432" t="s">
        <v>524</v>
      </c>
      <c r="C40" s="432"/>
      <c r="D40" s="434">
        <v>141692</v>
      </c>
      <c r="E40" s="434">
        <v>502520</v>
      </c>
    </row>
    <row r="41" spans="1:5" ht="15">
      <c r="A41" s="431"/>
      <c r="B41" s="433">
        <v>43539</v>
      </c>
      <c r="C41" s="432" t="s">
        <v>525</v>
      </c>
      <c r="D41" s="434">
        <v>-453014</v>
      </c>
      <c r="E41" s="434">
        <v>-453014</v>
      </c>
    </row>
    <row r="42" spans="1:5" ht="15">
      <c r="A42" s="431"/>
      <c r="B42" s="431"/>
      <c r="C42" s="432" t="s">
        <v>533</v>
      </c>
      <c r="D42" s="434">
        <v>-3793388</v>
      </c>
      <c r="E42" s="434"/>
    </row>
    <row r="43" spans="1:5" ht="15">
      <c r="A43" s="431"/>
      <c r="B43" s="431"/>
      <c r="C43" s="432" t="s">
        <v>537</v>
      </c>
      <c r="D43" s="434">
        <v>2827200</v>
      </c>
      <c r="E43" s="434">
        <v>1333617</v>
      </c>
    </row>
    <row r="44" spans="1:5" ht="30">
      <c r="A44" s="431"/>
      <c r="B44" s="431"/>
      <c r="C44" s="432" t="s">
        <v>538</v>
      </c>
      <c r="D44" s="434">
        <v>961248</v>
      </c>
      <c r="E44" s="434">
        <v>477435</v>
      </c>
    </row>
    <row r="45" spans="1:5" ht="15">
      <c r="A45" s="431"/>
      <c r="B45" s="431"/>
      <c r="C45" s="431" t="s">
        <v>534</v>
      </c>
      <c r="D45" s="434">
        <v>-136752</v>
      </c>
      <c r="E45" s="434"/>
    </row>
    <row r="46" spans="1:5" ht="30">
      <c r="A46" s="431"/>
      <c r="B46" s="432" t="s">
        <v>527</v>
      </c>
      <c r="C46" s="432"/>
      <c r="D46" s="434">
        <v>-594706</v>
      </c>
      <c r="E46" s="434">
        <v>1358038</v>
      </c>
    </row>
    <row r="47" spans="1:5" ht="15">
      <c r="A47" s="431"/>
      <c r="B47" s="433">
        <v>43587</v>
      </c>
      <c r="C47" s="432" t="s">
        <v>539</v>
      </c>
      <c r="D47" s="434">
        <v>0</v>
      </c>
      <c r="E47" s="434">
        <v>0</v>
      </c>
    </row>
    <row r="48" spans="1:5" ht="15">
      <c r="A48" s="431"/>
      <c r="B48" s="431"/>
      <c r="C48" s="432" t="s">
        <v>540</v>
      </c>
      <c r="D48" s="434">
        <v>0</v>
      </c>
      <c r="E48" s="434">
        <v>0</v>
      </c>
    </row>
    <row r="49" spans="1:5" ht="15">
      <c r="A49" s="431"/>
      <c r="B49" s="431"/>
      <c r="C49" s="432" t="s">
        <v>541</v>
      </c>
      <c r="D49" s="434">
        <v>0</v>
      </c>
      <c r="E49" s="434">
        <v>0</v>
      </c>
    </row>
    <row r="50" spans="1:5" ht="15">
      <c r="A50" s="431"/>
      <c r="B50" s="431"/>
      <c r="C50" s="432" t="s">
        <v>542</v>
      </c>
      <c r="D50" s="434">
        <v>0</v>
      </c>
      <c r="E50" s="434">
        <v>-21018</v>
      </c>
    </row>
    <row r="51" spans="1:5" ht="15">
      <c r="A51" s="431"/>
      <c r="B51" s="432" t="s">
        <v>464</v>
      </c>
      <c r="C51" s="432"/>
      <c r="D51" s="434">
        <v>0</v>
      </c>
      <c r="E51" s="434">
        <v>-21018</v>
      </c>
    </row>
    <row r="52" spans="1:5" ht="15">
      <c r="A52" s="435" t="s">
        <v>431</v>
      </c>
      <c r="B52" s="435"/>
      <c r="C52" s="435"/>
      <c r="D52" s="436">
        <v>-453014</v>
      </c>
      <c r="E52" s="436">
        <v>1839540</v>
      </c>
    </row>
    <row r="53" spans="1:5" ht="15">
      <c r="A53" s="431" t="s">
        <v>432</v>
      </c>
      <c r="B53" s="433">
        <v>43480</v>
      </c>
      <c r="C53" s="431" t="s">
        <v>543</v>
      </c>
      <c r="D53" s="434">
        <v>-5000000</v>
      </c>
      <c r="E53" s="434">
        <v>-5000000</v>
      </c>
    </row>
    <row r="54" spans="1:5" ht="30">
      <c r="A54" s="431"/>
      <c r="B54" s="432" t="s">
        <v>524</v>
      </c>
      <c r="C54" s="432"/>
      <c r="D54" s="434">
        <v>-5000000</v>
      </c>
      <c r="E54" s="434">
        <v>-5000000</v>
      </c>
    </row>
    <row r="55" spans="1:5" ht="15">
      <c r="A55" s="431"/>
      <c r="B55" s="433">
        <v>43587</v>
      </c>
      <c r="C55" s="432" t="s">
        <v>544</v>
      </c>
      <c r="D55" s="434">
        <v>0</v>
      </c>
      <c r="E55" s="434"/>
    </row>
    <row r="56" spans="1:5" ht="15">
      <c r="A56" s="431"/>
      <c r="B56" s="431"/>
      <c r="C56" s="432" t="s">
        <v>545</v>
      </c>
      <c r="D56" s="434">
        <v>-447600</v>
      </c>
      <c r="E56" s="434">
        <v>-447600</v>
      </c>
    </row>
    <row r="57" spans="1:5" ht="15">
      <c r="A57" s="431"/>
      <c r="B57" s="431"/>
      <c r="C57" s="432" t="s">
        <v>546</v>
      </c>
      <c r="D57" s="434">
        <v>0</v>
      </c>
      <c r="E57" s="434">
        <v>0</v>
      </c>
    </row>
    <row r="58" spans="1:5" ht="15">
      <c r="A58" s="431"/>
      <c r="B58" s="431"/>
      <c r="C58" s="432" t="s">
        <v>547</v>
      </c>
      <c r="D58" s="434">
        <v>-1826573</v>
      </c>
      <c r="E58" s="434">
        <v>-1826573</v>
      </c>
    </row>
    <row r="59" spans="1:5" ht="15">
      <c r="A59" s="431"/>
      <c r="B59" s="431"/>
      <c r="C59" s="432" t="s">
        <v>548</v>
      </c>
      <c r="D59" s="434">
        <v>-151289</v>
      </c>
      <c r="E59" s="434">
        <v>-151289</v>
      </c>
    </row>
    <row r="60" spans="1:5" ht="15">
      <c r="A60" s="431"/>
      <c r="B60" s="431"/>
      <c r="C60" s="432" t="s">
        <v>549</v>
      </c>
      <c r="D60" s="434">
        <v>-12221827</v>
      </c>
      <c r="E60" s="434">
        <v>-12221827</v>
      </c>
    </row>
    <row r="61" spans="1:5" ht="15">
      <c r="A61" s="431"/>
      <c r="B61" s="431"/>
      <c r="C61" s="432" t="s">
        <v>550</v>
      </c>
      <c r="D61" s="434">
        <v>6110913</v>
      </c>
      <c r="E61" s="434">
        <v>6110913</v>
      </c>
    </row>
    <row r="62" spans="1:5" ht="15">
      <c r="A62" s="431"/>
      <c r="B62" s="431"/>
      <c r="C62" s="432" t="s">
        <v>551</v>
      </c>
      <c r="D62" s="434">
        <v>2322147</v>
      </c>
      <c r="E62" s="434">
        <v>2322147</v>
      </c>
    </row>
    <row r="63" spans="1:5" ht="30">
      <c r="A63" s="431"/>
      <c r="B63" s="431"/>
      <c r="C63" s="432" t="s">
        <v>552</v>
      </c>
      <c r="D63" s="434">
        <v>83536</v>
      </c>
      <c r="E63" s="434">
        <v>83536</v>
      </c>
    </row>
    <row r="64" spans="1:5" ht="15">
      <c r="A64" s="431"/>
      <c r="B64" s="431"/>
      <c r="C64" s="431" t="s">
        <v>553</v>
      </c>
      <c r="D64" s="434">
        <v>-21613956</v>
      </c>
      <c r="E64" s="434">
        <v>-21613956</v>
      </c>
    </row>
    <row r="65" spans="1:5" ht="15">
      <c r="A65" s="431"/>
      <c r="B65" s="431"/>
      <c r="C65" s="431" t="s">
        <v>554</v>
      </c>
      <c r="D65" s="434">
        <v>-5102160</v>
      </c>
      <c r="E65" s="434">
        <v>-5102160</v>
      </c>
    </row>
    <row r="66" spans="1:5" ht="15">
      <c r="A66" s="431"/>
      <c r="B66" s="431"/>
      <c r="C66" s="431" t="s">
        <v>555</v>
      </c>
      <c r="D66" s="434">
        <v>-801524</v>
      </c>
      <c r="E66" s="434">
        <v>-801524</v>
      </c>
    </row>
    <row r="67" spans="1:5" ht="15">
      <c r="A67" s="431"/>
      <c r="B67" s="431"/>
      <c r="C67" s="431" t="s">
        <v>556</v>
      </c>
      <c r="D67" s="434">
        <v>-34139179</v>
      </c>
      <c r="E67" s="434">
        <v>-34139179</v>
      </c>
    </row>
    <row r="68" spans="1:5" ht="15">
      <c r="A68" s="431"/>
      <c r="B68" s="431"/>
      <c r="C68" s="431" t="s">
        <v>557</v>
      </c>
      <c r="D68" s="434">
        <v>17069590</v>
      </c>
      <c r="E68" s="434">
        <v>17069590</v>
      </c>
    </row>
    <row r="69" spans="1:5" ht="15">
      <c r="A69" s="431"/>
      <c r="B69" s="431"/>
      <c r="C69" s="431" t="s">
        <v>558</v>
      </c>
      <c r="D69" s="434">
        <v>6486444</v>
      </c>
      <c r="E69" s="434">
        <v>6486444</v>
      </c>
    </row>
    <row r="70" spans="1:5" ht="15">
      <c r="A70" s="431"/>
      <c r="B70" s="431"/>
      <c r="C70" s="431" t="s">
        <v>559</v>
      </c>
      <c r="D70" s="434">
        <v>0</v>
      </c>
      <c r="E70" s="434">
        <v>0</v>
      </c>
    </row>
    <row r="71" spans="1:5" ht="15">
      <c r="A71" s="431"/>
      <c r="B71" s="432" t="s">
        <v>464</v>
      </c>
      <c r="C71" s="432"/>
      <c r="D71" s="434">
        <v>-44231478</v>
      </c>
      <c r="E71" s="434">
        <v>-44231478</v>
      </c>
    </row>
    <row r="72" spans="1:5" ht="15">
      <c r="A72" s="431"/>
      <c r="B72" s="433">
        <v>43589</v>
      </c>
      <c r="C72" s="432" t="s">
        <v>560</v>
      </c>
      <c r="D72" s="434">
        <v>64801539</v>
      </c>
      <c r="E72" s="434">
        <v>0</v>
      </c>
    </row>
    <row r="73" spans="1:5" ht="15">
      <c r="A73" s="431"/>
      <c r="B73" s="431"/>
      <c r="C73" s="432" t="s">
        <v>561</v>
      </c>
      <c r="D73" s="434">
        <v>13066200</v>
      </c>
      <c r="E73" s="434">
        <v>0</v>
      </c>
    </row>
    <row r="74" spans="1:5" ht="15">
      <c r="A74" s="431"/>
      <c r="B74" s="432" t="s">
        <v>435</v>
      </c>
      <c r="C74" s="432"/>
      <c r="D74" s="434">
        <v>77867739</v>
      </c>
      <c r="E74" s="434">
        <v>0</v>
      </c>
    </row>
    <row r="75" spans="1:6" ht="15">
      <c r="A75" s="435" t="s">
        <v>436</v>
      </c>
      <c r="B75" s="435"/>
      <c r="C75" s="435"/>
      <c r="D75" s="436">
        <v>28636261</v>
      </c>
      <c r="E75" s="436">
        <v>-49231478</v>
      </c>
      <c r="F75" s="543"/>
    </row>
    <row r="76" spans="1:5" ht="15">
      <c r="A76" s="431" t="s">
        <v>437</v>
      </c>
      <c r="B76" s="433">
        <v>43587</v>
      </c>
      <c r="C76" s="432" t="s">
        <v>562</v>
      </c>
      <c r="D76" s="434">
        <v>-40000000</v>
      </c>
      <c r="E76" s="434">
        <v>-40000000</v>
      </c>
    </row>
    <row r="77" spans="1:5" ht="15">
      <c r="A77" s="431"/>
      <c r="B77" s="432" t="s">
        <v>464</v>
      </c>
      <c r="C77" s="432"/>
      <c r="D77" s="434">
        <v>-40000000</v>
      </c>
      <c r="E77" s="434">
        <v>-40000000</v>
      </c>
    </row>
    <row r="78" spans="1:5" ht="15">
      <c r="A78" s="435" t="s">
        <v>438</v>
      </c>
      <c r="B78" s="435"/>
      <c r="C78" s="435"/>
      <c r="D78" s="436">
        <v>-40000000</v>
      </c>
      <c r="E78" s="436">
        <v>-40000000</v>
      </c>
    </row>
    <row r="79" spans="1:5" ht="15">
      <c r="A79" s="431" t="s">
        <v>439</v>
      </c>
      <c r="B79" s="433">
        <v>43539</v>
      </c>
      <c r="C79" s="431" t="s">
        <v>563</v>
      </c>
      <c r="D79" s="434">
        <v>86844524</v>
      </c>
      <c r="E79" s="434">
        <v>51553346</v>
      </c>
    </row>
    <row r="80" spans="1:5" ht="30">
      <c r="A80" s="431"/>
      <c r="B80" s="432" t="s">
        <v>527</v>
      </c>
      <c r="C80" s="432"/>
      <c r="D80" s="434">
        <v>86844524</v>
      </c>
      <c r="E80" s="434">
        <v>51553346</v>
      </c>
    </row>
    <row r="81" spans="1:5" ht="15">
      <c r="A81" s="431"/>
      <c r="B81" s="433">
        <v>43587</v>
      </c>
      <c r="C81" s="432" t="s">
        <v>564</v>
      </c>
      <c r="D81" s="437">
        <v>-106500000</v>
      </c>
      <c r="E81" s="434">
        <v>-157734000</v>
      </c>
    </row>
    <row r="82" spans="1:5" ht="15">
      <c r="A82" s="431"/>
      <c r="B82" s="431"/>
      <c r="C82" s="432" t="s">
        <v>565</v>
      </c>
      <c r="D82" s="434">
        <v>-30000000</v>
      </c>
      <c r="E82" s="434">
        <v>-30000000</v>
      </c>
    </row>
    <row r="83" spans="1:5" ht="15">
      <c r="A83" s="431"/>
      <c r="B83" s="431"/>
      <c r="C83" s="432" t="s">
        <v>566</v>
      </c>
      <c r="D83" s="434">
        <v>-10000000</v>
      </c>
      <c r="E83" s="434">
        <v>-10000000</v>
      </c>
    </row>
    <row r="84" spans="1:5" ht="15">
      <c r="A84" s="431"/>
      <c r="B84" s="431"/>
      <c r="C84" s="432" t="s">
        <v>544</v>
      </c>
      <c r="D84" s="434">
        <v>2534000</v>
      </c>
      <c r="E84" s="434">
        <v>2534000</v>
      </c>
    </row>
    <row r="85" spans="1:5" ht="15">
      <c r="A85" s="431"/>
      <c r="B85" s="431"/>
      <c r="C85" s="432" t="s">
        <v>567</v>
      </c>
      <c r="D85" s="434">
        <v>-116400</v>
      </c>
      <c r="E85" s="434">
        <v>-116400</v>
      </c>
    </row>
    <row r="86" spans="1:5" ht="15">
      <c r="A86" s="431"/>
      <c r="B86" s="431"/>
      <c r="C86" s="432" t="s">
        <v>568</v>
      </c>
      <c r="D86" s="434">
        <v>35229312</v>
      </c>
      <c r="E86" s="434">
        <v>35229312</v>
      </c>
    </row>
    <row r="87" spans="1:5" ht="15">
      <c r="A87" s="431"/>
      <c r="B87" s="431"/>
      <c r="C87" s="432" t="s">
        <v>569</v>
      </c>
      <c r="D87" s="434">
        <v>18720674</v>
      </c>
      <c r="E87" s="434">
        <v>18720674</v>
      </c>
    </row>
    <row r="88" spans="1:6" ht="15">
      <c r="A88" s="431"/>
      <c r="B88" s="431"/>
      <c r="C88" s="432" t="s">
        <v>570</v>
      </c>
      <c r="D88" s="434">
        <v>180326</v>
      </c>
      <c r="E88" s="434">
        <v>180326</v>
      </c>
      <c r="F88" s="544"/>
    </row>
    <row r="89" spans="1:6" ht="15">
      <c r="A89" s="431"/>
      <c r="B89" s="431"/>
      <c r="C89" s="432" t="s">
        <v>571</v>
      </c>
      <c r="D89" s="434">
        <v>699332</v>
      </c>
      <c r="E89" s="434">
        <v>699332</v>
      </c>
      <c r="F89" s="544"/>
    </row>
    <row r="90" spans="1:5" ht="15">
      <c r="A90" s="431"/>
      <c r="B90" s="431"/>
      <c r="C90" s="432" t="s">
        <v>572</v>
      </c>
      <c r="D90" s="434">
        <v>0</v>
      </c>
      <c r="E90" s="434">
        <v>-3531</v>
      </c>
    </row>
    <row r="91" spans="1:5" ht="15">
      <c r="A91" s="431"/>
      <c r="B91" s="431"/>
      <c r="C91" s="432" t="s">
        <v>573</v>
      </c>
      <c r="D91" s="434">
        <v>0</v>
      </c>
      <c r="E91" s="434">
        <v>-14970</v>
      </c>
    </row>
    <row r="92" spans="1:5" ht="30">
      <c r="A92" s="431"/>
      <c r="B92" s="431"/>
      <c r="C92" s="432" t="s">
        <v>574</v>
      </c>
      <c r="D92" s="434">
        <v>632944</v>
      </c>
      <c r="E92" s="434">
        <v>632944</v>
      </c>
    </row>
    <row r="93" spans="1:5" ht="15">
      <c r="A93" s="431"/>
      <c r="B93" s="431"/>
      <c r="C93" s="432" t="s">
        <v>575</v>
      </c>
      <c r="D93" s="434">
        <v>-39343</v>
      </c>
      <c r="E93" s="434">
        <v>-39343</v>
      </c>
    </row>
    <row r="94" spans="1:5" ht="15">
      <c r="A94" s="431"/>
      <c r="B94" s="431"/>
      <c r="C94" s="432" t="s">
        <v>576</v>
      </c>
      <c r="D94" s="434">
        <v>-18679340</v>
      </c>
      <c r="E94" s="434">
        <v>-18679340</v>
      </c>
    </row>
    <row r="95" spans="1:5" ht="15">
      <c r="A95" s="431"/>
      <c r="B95" s="431"/>
      <c r="C95" s="432" t="s">
        <v>577</v>
      </c>
      <c r="D95" s="434">
        <v>-165531</v>
      </c>
      <c r="E95" s="434">
        <v>-165531</v>
      </c>
    </row>
    <row r="96" spans="1:5" ht="15">
      <c r="A96" s="431"/>
      <c r="B96" s="431"/>
      <c r="C96" s="432" t="s">
        <v>578</v>
      </c>
      <c r="D96" s="434">
        <v>-381260</v>
      </c>
      <c r="E96" s="434">
        <v>-381260</v>
      </c>
    </row>
    <row r="97" spans="1:5" ht="15">
      <c r="A97" s="431"/>
      <c r="B97" s="431"/>
      <c r="C97" s="432" t="s">
        <v>579</v>
      </c>
      <c r="D97" s="434">
        <v>9339670</v>
      </c>
      <c r="E97" s="434">
        <v>9339670</v>
      </c>
    </row>
    <row r="98" spans="1:5" ht="15">
      <c r="A98" s="431"/>
      <c r="B98" s="431"/>
      <c r="C98" s="432" t="s">
        <v>580</v>
      </c>
      <c r="D98" s="434">
        <v>82766</v>
      </c>
      <c r="E98" s="434">
        <v>82766</v>
      </c>
    </row>
    <row r="99" spans="1:5" ht="15">
      <c r="A99" s="431"/>
      <c r="B99" s="431"/>
      <c r="C99" s="432" t="s">
        <v>581</v>
      </c>
      <c r="D99" s="434">
        <v>190631</v>
      </c>
      <c r="E99" s="434">
        <v>190631</v>
      </c>
    </row>
    <row r="100" spans="1:5" ht="15">
      <c r="A100" s="431"/>
      <c r="B100" s="431"/>
      <c r="C100" s="432" t="s">
        <v>582</v>
      </c>
      <c r="D100" s="434">
        <v>6702001</v>
      </c>
      <c r="E100" s="434">
        <v>6702001</v>
      </c>
    </row>
    <row r="101" spans="1:5" ht="15">
      <c r="A101" s="431"/>
      <c r="B101" s="431"/>
      <c r="C101" s="432" t="s">
        <v>583</v>
      </c>
      <c r="D101" s="434">
        <v>64557</v>
      </c>
      <c r="E101" s="434">
        <v>64557</v>
      </c>
    </row>
    <row r="102" spans="1:5" ht="15">
      <c r="A102" s="431"/>
      <c r="B102" s="431"/>
      <c r="C102" s="432" t="s">
        <v>584</v>
      </c>
      <c r="D102" s="434">
        <v>250361</v>
      </c>
      <c r="E102" s="434">
        <v>250361</v>
      </c>
    </row>
    <row r="103" spans="1:5" ht="15">
      <c r="A103" s="431"/>
      <c r="B103" s="431"/>
      <c r="C103" s="432" t="s">
        <v>585</v>
      </c>
      <c r="D103" s="434">
        <v>69069</v>
      </c>
      <c r="E103" s="434">
        <v>69069</v>
      </c>
    </row>
    <row r="104" spans="1:5" ht="15">
      <c r="A104" s="431"/>
      <c r="B104" s="431"/>
      <c r="C104" s="431" t="s">
        <v>586</v>
      </c>
      <c r="D104" s="434">
        <v>-52176929</v>
      </c>
      <c r="E104" s="434">
        <v>-52176929</v>
      </c>
    </row>
    <row r="105" spans="1:5" ht="15">
      <c r="A105" s="431"/>
      <c r="B105" s="431"/>
      <c r="C105" s="431" t="s">
        <v>587</v>
      </c>
      <c r="D105" s="434">
        <v>-1064973</v>
      </c>
      <c r="E105" s="434">
        <v>-1064973</v>
      </c>
    </row>
    <row r="106" spans="1:5" ht="15">
      <c r="A106" s="431"/>
      <c r="B106" s="431"/>
      <c r="C106" s="431" t="s">
        <v>588</v>
      </c>
      <c r="D106" s="434">
        <v>26088465</v>
      </c>
      <c r="E106" s="434">
        <v>26088465</v>
      </c>
    </row>
    <row r="107" spans="1:5" ht="15">
      <c r="A107" s="431"/>
      <c r="B107" s="431"/>
      <c r="C107" s="431" t="s">
        <v>589</v>
      </c>
      <c r="D107" s="434">
        <v>532487</v>
      </c>
      <c r="E107" s="434">
        <v>532487</v>
      </c>
    </row>
    <row r="108" spans="1:5" ht="15">
      <c r="A108" s="431"/>
      <c r="B108" s="431"/>
      <c r="C108" s="431" t="s">
        <v>553</v>
      </c>
      <c r="D108" s="434">
        <v>-206835860</v>
      </c>
      <c r="E108" s="434">
        <v>-206835860</v>
      </c>
    </row>
    <row r="109" spans="1:5" ht="15">
      <c r="A109" s="431"/>
      <c r="B109" s="431"/>
      <c r="C109" s="431" t="s">
        <v>590</v>
      </c>
      <c r="D109" s="434">
        <v>0</v>
      </c>
      <c r="E109" s="434">
        <v>0</v>
      </c>
    </row>
    <row r="110" spans="1:5" ht="15">
      <c r="A110" s="431"/>
      <c r="B110" s="431"/>
      <c r="C110" s="431" t="s">
        <v>591</v>
      </c>
      <c r="D110" s="434">
        <v>-1884597</v>
      </c>
      <c r="E110" s="434">
        <v>-1883916</v>
      </c>
    </row>
    <row r="111" spans="1:5" ht="15">
      <c r="A111" s="431"/>
      <c r="B111" s="431"/>
      <c r="C111" s="431" t="s">
        <v>592</v>
      </c>
      <c r="D111" s="434">
        <v>-73842</v>
      </c>
      <c r="E111" s="434">
        <v>-70884</v>
      </c>
    </row>
    <row r="112" spans="1:5" ht="15">
      <c r="A112" s="431"/>
      <c r="B112" s="431"/>
      <c r="C112" s="431" t="s">
        <v>593</v>
      </c>
      <c r="D112" s="434">
        <v>0</v>
      </c>
      <c r="E112" s="434">
        <v>-9865</v>
      </c>
    </row>
    <row r="113" spans="1:5" ht="15">
      <c r="A113" s="431"/>
      <c r="B113" s="431"/>
      <c r="C113" s="431" t="s">
        <v>594</v>
      </c>
      <c r="D113" s="434">
        <v>0</v>
      </c>
      <c r="E113" s="434">
        <v>0</v>
      </c>
    </row>
    <row r="114" spans="1:5" ht="15">
      <c r="A114" s="431"/>
      <c r="B114" s="431"/>
      <c r="C114" s="431" t="s">
        <v>595</v>
      </c>
      <c r="D114" s="434">
        <v>0</v>
      </c>
      <c r="E114" s="434">
        <v>-41818</v>
      </c>
    </row>
    <row r="115" spans="1:5" ht="15">
      <c r="A115" s="431"/>
      <c r="B115" s="431"/>
      <c r="C115" s="431" t="s">
        <v>596</v>
      </c>
      <c r="D115" s="434">
        <v>1768000</v>
      </c>
      <c r="E115" s="434">
        <v>1768000</v>
      </c>
    </row>
    <row r="116" spans="1:5" ht="15">
      <c r="A116" s="431"/>
      <c r="B116" s="431"/>
      <c r="C116" s="431" t="s">
        <v>597</v>
      </c>
      <c r="D116" s="434">
        <v>-462375</v>
      </c>
      <c r="E116" s="434">
        <v>-462375</v>
      </c>
    </row>
    <row r="117" spans="1:5" ht="15">
      <c r="A117" s="431"/>
      <c r="B117" s="431"/>
      <c r="C117" s="431" t="s">
        <v>598</v>
      </c>
      <c r="D117" s="434">
        <v>231188</v>
      </c>
      <c r="E117" s="434">
        <v>231188</v>
      </c>
    </row>
    <row r="118" spans="1:5" ht="15">
      <c r="A118" s="431"/>
      <c r="B118" s="431"/>
      <c r="C118" s="431" t="s">
        <v>599</v>
      </c>
      <c r="D118" s="434">
        <v>12612093</v>
      </c>
      <c r="E118" s="434">
        <v>12612093</v>
      </c>
    </row>
    <row r="119" spans="1:5" ht="15">
      <c r="A119" s="431"/>
      <c r="B119" s="432" t="s">
        <v>464</v>
      </c>
      <c r="C119" s="432"/>
      <c r="D119" s="434">
        <v>-312452574</v>
      </c>
      <c r="E119" s="434">
        <v>-363753119</v>
      </c>
    </row>
    <row r="120" spans="1:5" ht="15">
      <c r="A120" s="431"/>
      <c r="B120" s="433">
        <v>43589</v>
      </c>
      <c r="C120" s="432" t="s">
        <v>560</v>
      </c>
      <c r="D120" s="434">
        <v>28135000</v>
      </c>
      <c r="E120" s="434">
        <v>0</v>
      </c>
    </row>
    <row r="121" spans="1:5" ht="15">
      <c r="A121" s="431"/>
      <c r="B121" s="432" t="s">
        <v>435</v>
      </c>
      <c r="C121" s="432"/>
      <c r="D121" s="434">
        <v>28135000</v>
      </c>
      <c r="E121" s="434">
        <v>0</v>
      </c>
    </row>
    <row r="122" spans="1:5" ht="30">
      <c r="A122" s="435" t="s">
        <v>440</v>
      </c>
      <c r="B122" s="435"/>
      <c r="C122" s="435"/>
      <c r="D122" s="436">
        <v>-197473050</v>
      </c>
      <c r="E122" s="436">
        <v>-312199773</v>
      </c>
    </row>
    <row r="123" spans="1:6" ht="15">
      <c r="A123" s="431" t="s">
        <v>67</v>
      </c>
      <c r="B123" s="433">
        <v>43539</v>
      </c>
      <c r="C123" s="432" t="s">
        <v>600</v>
      </c>
      <c r="D123" s="434">
        <v>302000000</v>
      </c>
      <c r="E123" s="434">
        <v>545000000</v>
      </c>
      <c r="F123" s="543"/>
    </row>
    <row r="124" spans="1:5" ht="15">
      <c r="A124" s="431"/>
      <c r="B124" s="431"/>
      <c r="C124" s="432" t="s">
        <v>601</v>
      </c>
      <c r="D124" s="434">
        <v>9000000</v>
      </c>
      <c r="E124" s="434">
        <v>9000000</v>
      </c>
    </row>
    <row r="125" spans="1:5" ht="15">
      <c r="A125" s="431"/>
      <c r="B125" s="431"/>
      <c r="C125" s="432" t="s">
        <v>602</v>
      </c>
      <c r="D125" s="434">
        <v>49000000</v>
      </c>
      <c r="E125" s="434">
        <v>98000000</v>
      </c>
    </row>
    <row r="126" spans="1:5" ht="15">
      <c r="A126" s="431"/>
      <c r="B126" s="431"/>
      <c r="C126" s="432" t="s">
        <v>603</v>
      </c>
      <c r="D126" s="434">
        <v>-444000000</v>
      </c>
      <c r="E126" s="434">
        <v>-736000000</v>
      </c>
    </row>
    <row r="127" spans="1:5" ht="15">
      <c r="A127" s="431"/>
      <c r="B127" s="431"/>
      <c r="C127" s="432" t="s">
        <v>604</v>
      </c>
      <c r="D127" s="434">
        <v>84000000</v>
      </c>
      <c r="E127" s="434">
        <v>84000000</v>
      </c>
    </row>
    <row r="128" spans="1:5" ht="30">
      <c r="A128" s="431"/>
      <c r="B128" s="432" t="s">
        <v>527</v>
      </c>
      <c r="C128" s="432"/>
      <c r="D128" s="434">
        <v>0</v>
      </c>
      <c r="E128" s="434">
        <v>0</v>
      </c>
    </row>
    <row r="129" spans="1:5" ht="15">
      <c r="A129" s="431"/>
      <c r="B129" s="433">
        <v>43587</v>
      </c>
      <c r="C129" s="432" t="s">
        <v>544</v>
      </c>
      <c r="D129" s="434">
        <v>0</v>
      </c>
      <c r="E129" s="434"/>
    </row>
    <row r="130" spans="1:5" ht="15">
      <c r="A130" s="431"/>
      <c r="B130" s="431"/>
      <c r="C130" s="432" t="s">
        <v>567</v>
      </c>
      <c r="D130" s="434">
        <v>-116400</v>
      </c>
      <c r="E130" s="434">
        <v>-116400</v>
      </c>
    </row>
    <row r="131" spans="1:5" ht="15">
      <c r="A131" s="431"/>
      <c r="B131" s="431"/>
      <c r="C131" s="432" t="s">
        <v>571</v>
      </c>
      <c r="D131" s="434">
        <v>7281659</v>
      </c>
      <c r="E131" s="434">
        <v>8111459</v>
      </c>
    </row>
    <row r="132" spans="1:5" ht="15">
      <c r="A132" s="431"/>
      <c r="B132" s="431"/>
      <c r="C132" s="432" t="s">
        <v>575</v>
      </c>
      <c r="D132" s="434">
        <v>-39343</v>
      </c>
      <c r="E132" s="434">
        <v>-39343</v>
      </c>
    </row>
    <row r="133" spans="1:5" ht="15">
      <c r="A133" s="431"/>
      <c r="B133" s="431"/>
      <c r="C133" s="432" t="s">
        <v>576</v>
      </c>
      <c r="D133" s="434">
        <v>-57620489</v>
      </c>
      <c r="E133" s="434">
        <v>-57620489</v>
      </c>
    </row>
    <row r="134" spans="1:5" ht="15">
      <c r="A134" s="431"/>
      <c r="B134" s="431"/>
      <c r="C134" s="432" t="s">
        <v>578</v>
      </c>
      <c r="D134" s="434">
        <v>-3969798</v>
      </c>
      <c r="E134" s="434">
        <v>-3969798</v>
      </c>
    </row>
    <row r="135" spans="1:5" ht="15">
      <c r="A135" s="431"/>
      <c r="B135" s="431"/>
      <c r="C135" s="432" t="s">
        <v>579</v>
      </c>
      <c r="D135" s="434">
        <v>28810245</v>
      </c>
      <c r="E135" s="434">
        <v>28810245</v>
      </c>
    </row>
    <row r="136" spans="1:5" ht="15">
      <c r="A136" s="431"/>
      <c r="B136" s="431"/>
      <c r="C136" s="432" t="s">
        <v>581</v>
      </c>
      <c r="D136" s="434">
        <v>1984899</v>
      </c>
      <c r="E136" s="434">
        <v>1984899</v>
      </c>
    </row>
    <row r="137" spans="1:5" ht="15">
      <c r="A137" s="431"/>
      <c r="B137" s="431"/>
      <c r="C137" s="432" t="s">
        <v>584</v>
      </c>
      <c r="D137" s="434">
        <v>2606834</v>
      </c>
      <c r="E137" s="434">
        <v>2903902</v>
      </c>
    </row>
    <row r="138" spans="1:5" ht="15">
      <c r="A138" s="431"/>
      <c r="B138" s="431"/>
      <c r="C138" s="432" t="s">
        <v>605</v>
      </c>
      <c r="D138" s="434">
        <v>72210316</v>
      </c>
      <c r="E138" s="434">
        <v>72210316</v>
      </c>
    </row>
    <row r="139" spans="1:5" ht="15">
      <c r="A139" s="431"/>
      <c r="B139" s="431"/>
      <c r="C139" s="432" t="s">
        <v>606</v>
      </c>
      <c r="D139" s="434">
        <v>0</v>
      </c>
      <c r="E139" s="434">
        <v>3244</v>
      </c>
    </row>
    <row r="140" spans="1:5" ht="15">
      <c r="A140" s="431"/>
      <c r="B140" s="431"/>
      <c r="C140" s="432" t="s">
        <v>607</v>
      </c>
      <c r="D140" s="434">
        <v>25851293</v>
      </c>
      <c r="E140" s="434">
        <v>25851293</v>
      </c>
    </row>
    <row r="141" spans="1:5" ht="15">
      <c r="A141" s="431"/>
      <c r="B141" s="431"/>
      <c r="C141" s="432" t="s">
        <v>608</v>
      </c>
      <c r="D141" s="434">
        <v>-93705</v>
      </c>
      <c r="E141" s="434">
        <v>-50174</v>
      </c>
    </row>
    <row r="142" spans="1:5" ht="15">
      <c r="A142" s="431"/>
      <c r="B142" s="431"/>
      <c r="C142" s="432" t="s">
        <v>609</v>
      </c>
      <c r="D142" s="434">
        <v>-2000000000</v>
      </c>
      <c r="E142" s="434">
        <v>0</v>
      </c>
    </row>
    <row r="143" spans="1:5" ht="15">
      <c r="A143" s="431"/>
      <c r="B143" s="431"/>
      <c r="C143" s="431" t="s">
        <v>586</v>
      </c>
      <c r="D143" s="434">
        <v>-160951086</v>
      </c>
      <c r="E143" s="434">
        <v>-160951086</v>
      </c>
    </row>
    <row r="144" spans="1:5" ht="15">
      <c r="A144" s="431"/>
      <c r="B144" s="431"/>
      <c r="C144" s="431" t="s">
        <v>587</v>
      </c>
      <c r="D144" s="434">
        <v>-11088822</v>
      </c>
      <c r="E144" s="434">
        <v>-11088822</v>
      </c>
    </row>
    <row r="145" spans="1:5" ht="15">
      <c r="A145" s="431"/>
      <c r="B145" s="431"/>
      <c r="C145" s="431" t="s">
        <v>588</v>
      </c>
      <c r="D145" s="434">
        <v>80475545</v>
      </c>
      <c r="E145" s="434">
        <v>80475545</v>
      </c>
    </row>
    <row r="146" spans="1:5" ht="15">
      <c r="A146" s="431"/>
      <c r="B146" s="431"/>
      <c r="C146" s="431" t="s">
        <v>589</v>
      </c>
      <c r="D146" s="434">
        <v>5544411</v>
      </c>
      <c r="E146" s="434">
        <v>5544411</v>
      </c>
    </row>
    <row r="147" spans="1:5" ht="15">
      <c r="A147" s="431"/>
      <c r="B147" s="431"/>
      <c r="C147" s="431" t="s">
        <v>591</v>
      </c>
      <c r="D147" s="434">
        <v>-36920493</v>
      </c>
      <c r="E147" s="434">
        <v>-38103198</v>
      </c>
    </row>
    <row r="148" spans="1:5" ht="15">
      <c r="A148" s="431"/>
      <c r="B148" s="431"/>
      <c r="C148" s="431" t="s">
        <v>592</v>
      </c>
      <c r="D148" s="434">
        <v>-775326</v>
      </c>
      <c r="E148" s="434">
        <v>-775326</v>
      </c>
    </row>
    <row r="149" spans="1:5" ht="15">
      <c r="A149" s="431"/>
      <c r="B149" s="431"/>
      <c r="C149" s="431" t="s">
        <v>610</v>
      </c>
      <c r="D149" s="434">
        <v>0</v>
      </c>
      <c r="E149" s="434">
        <v>9062</v>
      </c>
    </row>
    <row r="150" spans="1:5" ht="15">
      <c r="A150" s="431"/>
      <c r="B150" s="431"/>
      <c r="C150" s="431" t="s">
        <v>611</v>
      </c>
      <c r="D150" s="434">
        <v>34470000</v>
      </c>
      <c r="E150" s="434">
        <v>34470000</v>
      </c>
    </row>
    <row r="151" spans="1:5" ht="15">
      <c r="A151" s="431"/>
      <c r="B151" s="431"/>
      <c r="C151" s="431" t="s">
        <v>612</v>
      </c>
      <c r="D151" s="434">
        <v>12340260</v>
      </c>
      <c r="E151" s="434">
        <v>12340260</v>
      </c>
    </row>
    <row r="152" spans="1:5" ht="15">
      <c r="A152" s="431"/>
      <c r="B152" s="432" t="s">
        <v>464</v>
      </c>
      <c r="C152" s="432"/>
      <c r="D152" s="434">
        <v>-2000000000</v>
      </c>
      <c r="E152" s="434">
        <v>0</v>
      </c>
    </row>
    <row r="153" spans="1:5" ht="15">
      <c r="A153" s="431"/>
      <c r="B153" s="433">
        <v>43589</v>
      </c>
      <c r="C153" s="432" t="s">
        <v>560</v>
      </c>
      <c r="D153" s="434">
        <v>198354675</v>
      </c>
      <c r="E153" s="434">
        <v>0</v>
      </c>
    </row>
    <row r="154" spans="1:5" ht="15">
      <c r="A154" s="431"/>
      <c r="B154" s="432" t="s">
        <v>435</v>
      </c>
      <c r="C154" s="432"/>
      <c r="D154" s="434">
        <v>198354675</v>
      </c>
      <c r="E154" s="434">
        <v>0</v>
      </c>
    </row>
    <row r="155" spans="1:5" ht="15">
      <c r="A155" s="431"/>
      <c r="B155" s="433">
        <v>43608</v>
      </c>
      <c r="C155" s="431" t="s">
        <v>613</v>
      </c>
      <c r="D155" s="434"/>
      <c r="E155" s="434"/>
    </row>
    <row r="156" spans="1:5" ht="30">
      <c r="A156" s="431"/>
      <c r="B156" s="432" t="s">
        <v>614</v>
      </c>
      <c r="C156" s="432"/>
      <c r="D156" s="434"/>
      <c r="E156" s="434"/>
    </row>
    <row r="157" spans="1:5" ht="15">
      <c r="A157" s="435" t="s">
        <v>443</v>
      </c>
      <c r="B157" s="435"/>
      <c r="C157" s="435"/>
      <c r="D157" s="436">
        <v>-1801645325</v>
      </c>
      <c r="E157" s="436">
        <v>0</v>
      </c>
    </row>
    <row r="158" spans="1:5" ht="15">
      <c r="A158" s="431" t="s">
        <v>615</v>
      </c>
      <c r="B158" s="433">
        <v>43587</v>
      </c>
      <c r="C158" s="432" t="s">
        <v>546</v>
      </c>
      <c r="D158" s="434">
        <v>7444320</v>
      </c>
      <c r="E158" s="434">
        <v>7444320</v>
      </c>
    </row>
    <row r="159" spans="1:5" ht="15">
      <c r="A159" s="431"/>
      <c r="B159" s="431"/>
      <c r="C159" s="432" t="s">
        <v>616</v>
      </c>
      <c r="D159" s="434">
        <v>3200251</v>
      </c>
      <c r="E159" s="434">
        <v>3200251</v>
      </c>
    </row>
    <row r="160" spans="1:5" ht="15">
      <c r="A160" s="431"/>
      <c r="B160" s="431"/>
      <c r="C160" s="432" t="s">
        <v>617</v>
      </c>
      <c r="D160" s="434">
        <v>-316183</v>
      </c>
      <c r="E160" s="434">
        <v>-316183</v>
      </c>
    </row>
    <row r="161" spans="1:5" ht="15">
      <c r="A161" s="431"/>
      <c r="B161" s="431"/>
      <c r="C161" s="432" t="s">
        <v>549</v>
      </c>
      <c r="D161" s="434">
        <v>-2937666</v>
      </c>
      <c r="E161" s="434">
        <v>-2937666</v>
      </c>
    </row>
    <row r="162" spans="1:5" ht="15">
      <c r="A162" s="431"/>
      <c r="B162" s="431"/>
      <c r="C162" s="432" t="s">
        <v>550</v>
      </c>
      <c r="D162" s="434">
        <v>1468834</v>
      </c>
      <c r="E162" s="434">
        <v>1468834</v>
      </c>
    </row>
    <row r="163" spans="1:5" ht="15">
      <c r="A163" s="431"/>
      <c r="B163" s="431"/>
      <c r="C163" s="432" t="s">
        <v>551</v>
      </c>
      <c r="D163" s="434">
        <v>1145690</v>
      </c>
      <c r="E163" s="434">
        <v>1145690</v>
      </c>
    </row>
    <row r="164" spans="1:5" ht="15">
      <c r="A164" s="431"/>
      <c r="B164" s="431"/>
      <c r="C164" s="431" t="s">
        <v>553</v>
      </c>
      <c r="D164" s="434">
        <v>-5052980</v>
      </c>
      <c r="E164" s="434">
        <v>-5052980</v>
      </c>
    </row>
    <row r="165" spans="1:5" ht="15">
      <c r="A165" s="431"/>
      <c r="B165" s="431"/>
      <c r="C165" s="431" t="s">
        <v>557</v>
      </c>
      <c r="D165" s="434">
        <v>4102887</v>
      </c>
      <c r="E165" s="434">
        <v>4102887</v>
      </c>
    </row>
    <row r="166" spans="1:5" ht="15">
      <c r="A166" s="431"/>
      <c r="B166" s="431"/>
      <c r="C166" s="431" t="s">
        <v>618</v>
      </c>
      <c r="D166" s="434">
        <v>-8205773</v>
      </c>
      <c r="E166" s="434">
        <v>-8205773</v>
      </c>
    </row>
    <row r="167" spans="1:5" ht="15">
      <c r="A167" s="431"/>
      <c r="B167" s="431"/>
      <c r="C167" s="431" t="s">
        <v>559</v>
      </c>
      <c r="D167" s="434">
        <v>2665066</v>
      </c>
      <c r="E167" s="434">
        <v>2665066</v>
      </c>
    </row>
    <row r="168" spans="1:5" ht="15">
      <c r="A168" s="431"/>
      <c r="B168" s="432" t="s">
        <v>464</v>
      </c>
      <c r="C168" s="432"/>
      <c r="D168" s="434">
        <v>3514446</v>
      </c>
      <c r="E168" s="434">
        <v>3514446</v>
      </c>
    </row>
    <row r="169" spans="1:5" ht="30">
      <c r="A169" s="435" t="s">
        <v>619</v>
      </c>
      <c r="B169" s="435"/>
      <c r="C169" s="435"/>
      <c r="D169" s="436">
        <v>3514446</v>
      </c>
      <c r="E169" s="436">
        <v>3514446</v>
      </c>
    </row>
    <row r="170" spans="1:5" ht="15">
      <c r="A170" s="431" t="s">
        <v>444</v>
      </c>
      <c r="B170" s="433">
        <v>43480</v>
      </c>
      <c r="C170" s="432" t="s">
        <v>518</v>
      </c>
      <c r="D170" s="434">
        <v>5308118</v>
      </c>
      <c r="E170" s="434">
        <v>5308118</v>
      </c>
    </row>
    <row r="171" spans="1:5" ht="15">
      <c r="A171" s="431"/>
      <c r="B171" s="431"/>
      <c r="C171" s="432" t="s">
        <v>519</v>
      </c>
      <c r="D171" s="434">
        <v>-222000</v>
      </c>
      <c r="E171" s="434">
        <v>-222000</v>
      </c>
    </row>
    <row r="172" spans="1:5" ht="15">
      <c r="A172" s="431"/>
      <c r="B172" s="431"/>
      <c r="C172" s="432" t="s">
        <v>520</v>
      </c>
      <c r="D172" s="434">
        <v>1835442</v>
      </c>
      <c r="E172" s="434">
        <v>1835442</v>
      </c>
    </row>
    <row r="173" spans="1:5" ht="15">
      <c r="A173" s="431"/>
      <c r="B173" s="431"/>
      <c r="C173" s="431" t="s">
        <v>523</v>
      </c>
      <c r="D173" s="434">
        <v>-33600</v>
      </c>
      <c r="E173" s="434"/>
    </row>
    <row r="174" spans="1:5" ht="30">
      <c r="A174" s="431"/>
      <c r="B174" s="432" t="s">
        <v>524</v>
      </c>
      <c r="C174" s="432"/>
      <c r="D174" s="434">
        <v>6887960</v>
      </c>
      <c r="E174" s="434">
        <v>6921560</v>
      </c>
    </row>
    <row r="175" spans="1:5" ht="15">
      <c r="A175" s="431"/>
      <c r="B175" s="433">
        <v>43539</v>
      </c>
      <c r="C175" s="432" t="s">
        <v>525</v>
      </c>
      <c r="D175" s="434">
        <v>-171063</v>
      </c>
      <c r="E175" s="434">
        <v>-171063</v>
      </c>
    </row>
    <row r="176" spans="1:5" ht="15">
      <c r="A176" s="431"/>
      <c r="B176" s="431"/>
      <c r="C176" s="432" t="s">
        <v>620</v>
      </c>
      <c r="D176" s="434">
        <v>-42390</v>
      </c>
      <c r="E176" s="434"/>
    </row>
    <row r="177" spans="1:5" ht="15">
      <c r="A177" s="431"/>
      <c r="B177" s="431"/>
      <c r="C177" s="432" t="s">
        <v>621</v>
      </c>
      <c r="D177" s="434">
        <v>32670</v>
      </c>
      <c r="E177" s="434"/>
    </row>
    <row r="178" spans="1:5" ht="15">
      <c r="A178" s="431"/>
      <c r="B178" s="431"/>
      <c r="C178" s="432" t="s">
        <v>622</v>
      </c>
      <c r="D178" s="434">
        <v>9720</v>
      </c>
      <c r="E178" s="434"/>
    </row>
    <row r="179" spans="1:5" ht="15">
      <c r="A179" s="431"/>
      <c r="B179" s="431"/>
      <c r="C179" s="432" t="s">
        <v>623</v>
      </c>
      <c r="D179" s="434">
        <v>185130</v>
      </c>
      <c r="E179" s="434"/>
    </row>
    <row r="180" spans="1:5" ht="15">
      <c r="A180" s="431"/>
      <c r="B180" s="431"/>
      <c r="C180" s="432" t="s">
        <v>624</v>
      </c>
      <c r="D180" s="434">
        <v>55080</v>
      </c>
      <c r="E180" s="434"/>
    </row>
    <row r="181" spans="1:5" ht="15">
      <c r="A181" s="431"/>
      <c r="B181" s="431"/>
      <c r="C181" s="431" t="s">
        <v>625</v>
      </c>
      <c r="D181" s="434">
        <v>0</v>
      </c>
      <c r="E181" s="434">
        <v>5692000</v>
      </c>
    </row>
    <row r="182" spans="1:5" ht="30">
      <c r="A182" s="431"/>
      <c r="B182" s="432" t="s">
        <v>527</v>
      </c>
      <c r="C182" s="432"/>
      <c r="D182" s="434">
        <v>69147</v>
      </c>
      <c r="E182" s="434">
        <v>5520937</v>
      </c>
    </row>
    <row r="183" spans="1:5" ht="30">
      <c r="A183" s="435" t="s">
        <v>446</v>
      </c>
      <c r="B183" s="435"/>
      <c r="C183" s="435"/>
      <c r="D183" s="436">
        <v>6957107</v>
      </c>
      <c r="E183" s="436">
        <v>12442497</v>
      </c>
    </row>
    <row r="184" spans="1:5" ht="15">
      <c r="A184" s="431" t="s">
        <v>68</v>
      </c>
      <c r="B184" s="433">
        <v>43539</v>
      </c>
      <c r="C184" s="432" t="s">
        <v>601</v>
      </c>
      <c r="D184" s="434">
        <v>1000000</v>
      </c>
      <c r="E184" s="434">
        <v>1000000</v>
      </c>
    </row>
    <row r="185" spans="1:5" ht="15">
      <c r="A185" s="431"/>
      <c r="B185" s="431"/>
      <c r="C185" s="432" t="s">
        <v>602</v>
      </c>
      <c r="D185" s="434">
        <v>46718607</v>
      </c>
      <c r="E185" s="434">
        <v>60136173</v>
      </c>
    </row>
    <row r="186" spans="1:5" ht="30">
      <c r="A186" s="431"/>
      <c r="B186" s="432" t="s">
        <v>527</v>
      </c>
      <c r="C186" s="432"/>
      <c r="D186" s="434">
        <v>47718607</v>
      </c>
      <c r="E186" s="434">
        <v>61136173</v>
      </c>
    </row>
    <row r="187" spans="1:5" ht="15">
      <c r="A187" s="431"/>
      <c r="B187" s="433">
        <v>43587</v>
      </c>
      <c r="C187" s="432" t="s">
        <v>545</v>
      </c>
      <c r="D187" s="434">
        <v>-116400</v>
      </c>
      <c r="E187" s="434">
        <v>-116400</v>
      </c>
    </row>
    <row r="188" spans="1:5" ht="15">
      <c r="A188" s="431"/>
      <c r="B188" s="431"/>
      <c r="C188" s="432" t="s">
        <v>616</v>
      </c>
      <c r="D188" s="434">
        <v>242707088</v>
      </c>
      <c r="E188" s="434">
        <v>242707088</v>
      </c>
    </row>
    <row r="189" spans="1:5" ht="15">
      <c r="A189" s="431"/>
      <c r="B189" s="431"/>
      <c r="C189" s="432" t="s">
        <v>548</v>
      </c>
      <c r="D189" s="434">
        <v>-39343</v>
      </c>
      <c r="E189" s="434">
        <v>-39343</v>
      </c>
    </row>
    <row r="190" spans="1:5" ht="15">
      <c r="A190" s="431"/>
      <c r="B190" s="431"/>
      <c r="C190" s="432" t="s">
        <v>549</v>
      </c>
      <c r="D190" s="434">
        <v>-188465023</v>
      </c>
      <c r="E190" s="434">
        <v>-188465023</v>
      </c>
    </row>
    <row r="191" spans="1:5" ht="15">
      <c r="A191" s="431"/>
      <c r="B191" s="431"/>
      <c r="C191" s="432" t="s">
        <v>550</v>
      </c>
      <c r="D191" s="434">
        <v>94232512</v>
      </c>
      <c r="E191" s="434">
        <v>94232512</v>
      </c>
    </row>
    <row r="192" spans="1:5" ht="15">
      <c r="A192" s="431"/>
      <c r="B192" s="431"/>
      <c r="C192" s="432" t="s">
        <v>551</v>
      </c>
      <c r="D192" s="434">
        <v>86889138</v>
      </c>
      <c r="E192" s="434">
        <v>86889138</v>
      </c>
    </row>
    <row r="193" spans="1:5" ht="15">
      <c r="A193" s="431"/>
      <c r="B193" s="431"/>
      <c r="C193" s="432" t="s">
        <v>626</v>
      </c>
      <c r="D193" s="434">
        <v>4150800</v>
      </c>
      <c r="E193" s="434">
        <v>4150800</v>
      </c>
    </row>
    <row r="194" spans="1:5" ht="15">
      <c r="A194" s="431"/>
      <c r="B194" s="431"/>
      <c r="C194" s="432" t="s">
        <v>627</v>
      </c>
      <c r="D194" s="434">
        <v>0</v>
      </c>
      <c r="E194" s="434">
        <v>0</v>
      </c>
    </row>
    <row r="195" spans="1:5" ht="15">
      <c r="A195" s="431"/>
      <c r="B195" s="431"/>
      <c r="C195" s="432" t="s">
        <v>628</v>
      </c>
      <c r="D195" s="434">
        <v>1485986</v>
      </c>
      <c r="E195" s="434">
        <v>1485986</v>
      </c>
    </row>
    <row r="196" spans="1:5" ht="15">
      <c r="A196" s="431"/>
      <c r="B196" s="431"/>
      <c r="C196" s="432" t="s">
        <v>629</v>
      </c>
      <c r="D196" s="434">
        <v>0</v>
      </c>
      <c r="E196" s="434">
        <v>0</v>
      </c>
    </row>
    <row r="197" spans="1:5" ht="15">
      <c r="A197" s="431"/>
      <c r="B197" s="431"/>
      <c r="C197" s="431" t="s">
        <v>553</v>
      </c>
      <c r="D197" s="434">
        <v>-398730299</v>
      </c>
      <c r="E197" s="434">
        <v>-398730299</v>
      </c>
    </row>
    <row r="198" spans="1:5" ht="15">
      <c r="A198" s="431"/>
      <c r="B198" s="431"/>
      <c r="C198" s="431" t="s">
        <v>555</v>
      </c>
      <c r="D198" s="434">
        <v>-24710608</v>
      </c>
      <c r="E198" s="434">
        <v>-24710608</v>
      </c>
    </row>
    <row r="199" spans="1:5" ht="15">
      <c r="A199" s="431"/>
      <c r="B199" s="431"/>
      <c r="C199" s="431" t="s">
        <v>557</v>
      </c>
      <c r="D199" s="434">
        <v>263219308</v>
      </c>
      <c r="E199" s="434">
        <v>263219308</v>
      </c>
    </row>
    <row r="200" spans="1:5" ht="15">
      <c r="A200" s="431"/>
      <c r="B200" s="431"/>
      <c r="C200" s="431" t="s">
        <v>618</v>
      </c>
      <c r="D200" s="434">
        <v>-526438613</v>
      </c>
      <c r="E200" s="434">
        <v>-526438613</v>
      </c>
    </row>
    <row r="201" spans="1:5" ht="15">
      <c r="A201" s="431"/>
      <c r="B201" s="431"/>
      <c r="C201" s="431" t="s">
        <v>630</v>
      </c>
      <c r="D201" s="434">
        <v>179174988</v>
      </c>
      <c r="E201" s="434">
        <v>179174988</v>
      </c>
    </row>
    <row r="202" spans="1:5" ht="15">
      <c r="A202" s="431"/>
      <c r="B202" s="431"/>
      <c r="C202" s="431" t="s">
        <v>631</v>
      </c>
      <c r="D202" s="434">
        <v>64144646</v>
      </c>
      <c r="E202" s="434">
        <v>64144646</v>
      </c>
    </row>
    <row r="203" spans="1:5" ht="15">
      <c r="A203" s="431"/>
      <c r="B203" s="432" t="s">
        <v>464</v>
      </c>
      <c r="C203" s="432"/>
      <c r="D203" s="434">
        <v>-202495820</v>
      </c>
      <c r="E203" s="434">
        <v>-202495820</v>
      </c>
    </row>
    <row r="204" spans="1:5" ht="15">
      <c r="A204" s="431"/>
      <c r="B204" s="433">
        <v>43589</v>
      </c>
      <c r="C204" s="432" t="s">
        <v>560</v>
      </c>
      <c r="D204" s="434">
        <v>170002649</v>
      </c>
      <c r="E204" s="434">
        <v>0</v>
      </c>
    </row>
    <row r="205" spans="1:5" ht="15">
      <c r="A205" s="431"/>
      <c r="B205" s="431"/>
      <c r="C205" s="432" t="s">
        <v>561</v>
      </c>
      <c r="D205" s="434">
        <v>44944240</v>
      </c>
      <c r="E205" s="434">
        <v>0</v>
      </c>
    </row>
    <row r="206" spans="1:5" ht="15">
      <c r="A206" s="431"/>
      <c r="B206" s="432" t="s">
        <v>435</v>
      </c>
      <c r="C206" s="432"/>
      <c r="D206" s="434">
        <v>214946889</v>
      </c>
      <c r="E206" s="434">
        <v>0</v>
      </c>
    </row>
    <row r="207" spans="1:5" ht="15">
      <c r="A207" s="435" t="s">
        <v>449</v>
      </c>
      <c r="B207" s="435"/>
      <c r="C207" s="435"/>
      <c r="D207" s="436">
        <v>60169676</v>
      </c>
      <c r="E207" s="436">
        <v>-141359647</v>
      </c>
    </row>
    <row r="208" spans="1:5" ht="30">
      <c r="A208" s="431" t="s">
        <v>69</v>
      </c>
      <c r="B208" s="433">
        <v>43480</v>
      </c>
      <c r="C208" s="432" t="s">
        <v>632</v>
      </c>
      <c r="D208" s="434">
        <v>200000000</v>
      </c>
      <c r="E208" s="434">
        <v>200000000</v>
      </c>
    </row>
    <row r="209" spans="1:5" ht="15">
      <c r="A209" s="431"/>
      <c r="B209" s="431"/>
      <c r="C209" s="431" t="s">
        <v>633</v>
      </c>
      <c r="D209" s="434">
        <v>5000000</v>
      </c>
      <c r="E209" s="434">
        <v>5000000</v>
      </c>
    </row>
    <row r="210" spans="1:5" ht="30">
      <c r="A210" s="431"/>
      <c r="B210" s="432" t="s">
        <v>524</v>
      </c>
      <c r="C210" s="432"/>
      <c r="D210" s="434">
        <v>205000000</v>
      </c>
      <c r="E210" s="434">
        <v>205000000</v>
      </c>
    </row>
    <row r="211" spans="1:5" ht="15">
      <c r="A211" s="431"/>
      <c r="B211" s="433">
        <v>43539</v>
      </c>
      <c r="C211" s="432" t="s">
        <v>601</v>
      </c>
      <c r="D211" s="434">
        <v>2500000000</v>
      </c>
      <c r="E211" s="434">
        <v>2700000000</v>
      </c>
    </row>
    <row r="212" spans="1:5" ht="15">
      <c r="A212" s="431"/>
      <c r="B212" s="431"/>
      <c r="C212" s="432" t="s">
        <v>634</v>
      </c>
      <c r="D212" s="434">
        <v>-800000000</v>
      </c>
      <c r="E212" s="434">
        <v>-639914713</v>
      </c>
    </row>
    <row r="213" spans="1:5" ht="30">
      <c r="A213" s="431"/>
      <c r="B213" s="431"/>
      <c r="C213" s="432" t="s">
        <v>635</v>
      </c>
      <c r="D213" s="434">
        <v>3800000000</v>
      </c>
      <c r="E213" s="434">
        <v>3900000000</v>
      </c>
    </row>
    <row r="214" spans="1:5" ht="15">
      <c r="A214" s="431"/>
      <c r="B214" s="431"/>
      <c r="C214" s="432" t="s">
        <v>636</v>
      </c>
      <c r="D214" s="434">
        <v>300000000</v>
      </c>
      <c r="E214" s="434">
        <v>200000000</v>
      </c>
    </row>
    <row r="215" spans="1:5" ht="15">
      <c r="A215" s="431"/>
      <c r="B215" s="431"/>
      <c r="C215" s="432" t="s">
        <v>637</v>
      </c>
      <c r="D215" s="434">
        <v>-2426078353</v>
      </c>
      <c r="E215" s="434">
        <v>-2580067309</v>
      </c>
    </row>
    <row r="216" spans="1:5" ht="15">
      <c r="A216" s="431"/>
      <c r="B216" s="431"/>
      <c r="C216" s="432" t="s">
        <v>638</v>
      </c>
      <c r="D216" s="434">
        <v>5571441543</v>
      </c>
      <c r="E216" s="434">
        <v>11312792000</v>
      </c>
    </row>
    <row r="217" spans="1:5" ht="15">
      <c r="A217" s="431"/>
      <c r="B217" s="431"/>
      <c r="C217" s="432" t="s">
        <v>639</v>
      </c>
      <c r="D217" s="434">
        <v>7000000000</v>
      </c>
      <c r="E217" s="434">
        <v>7000000000</v>
      </c>
    </row>
    <row r="218" spans="1:5" ht="15">
      <c r="A218" s="431"/>
      <c r="B218" s="431"/>
      <c r="C218" s="432" t="s">
        <v>640</v>
      </c>
      <c r="D218" s="434">
        <v>-100000000</v>
      </c>
      <c r="E218" s="434">
        <v>-100000000</v>
      </c>
    </row>
    <row r="219" spans="1:5" ht="30">
      <c r="A219" s="431"/>
      <c r="B219" s="432" t="s">
        <v>527</v>
      </c>
      <c r="C219" s="432"/>
      <c r="D219" s="434">
        <v>15845363190</v>
      </c>
      <c r="E219" s="434">
        <v>21792809978</v>
      </c>
    </row>
    <row r="220" spans="1:5" ht="15">
      <c r="A220" s="431"/>
      <c r="B220" s="433">
        <v>43587</v>
      </c>
      <c r="C220" s="432" t="s">
        <v>544</v>
      </c>
      <c r="D220" s="434">
        <v>-90000000</v>
      </c>
      <c r="E220" s="434">
        <v>-85000000</v>
      </c>
    </row>
    <row r="221" spans="1:5" ht="15">
      <c r="A221" s="431"/>
      <c r="B221" s="431"/>
      <c r="C221" s="432" t="s">
        <v>567</v>
      </c>
      <c r="D221" s="434">
        <v>-116400</v>
      </c>
      <c r="E221" s="434">
        <v>-116400</v>
      </c>
    </row>
    <row r="222" spans="1:5" ht="15">
      <c r="A222" s="431"/>
      <c r="B222" s="431"/>
      <c r="C222" s="432" t="s">
        <v>568</v>
      </c>
      <c r="D222" s="434">
        <v>96936984</v>
      </c>
      <c r="E222" s="434">
        <v>96936984</v>
      </c>
    </row>
    <row r="223" spans="1:5" ht="15">
      <c r="A223" s="431"/>
      <c r="B223" s="431"/>
      <c r="C223" s="432" t="s">
        <v>569</v>
      </c>
      <c r="D223" s="434">
        <v>160705428</v>
      </c>
      <c r="E223" s="434">
        <v>160705428</v>
      </c>
    </row>
    <row r="224" spans="1:5" ht="15">
      <c r="A224" s="431"/>
      <c r="B224" s="431"/>
      <c r="C224" s="432" t="s">
        <v>571</v>
      </c>
      <c r="D224" s="434">
        <v>5349532</v>
      </c>
      <c r="E224" s="434">
        <v>5349532</v>
      </c>
    </row>
    <row r="225" spans="1:5" ht="15">
      <c r="A225" s="431"/>
      <c r="B225" s="431"/>
      <c r="C225" s="432" t="s">
        <v>575</v>
      </c>
      <c r="D225" s="434">
        <v>-39343</v>
      </c>
      <c r="E225" s="434">
        <v>-39343</v>
      </c>
    </row>
    <row r="226" spans="1:5" ht="15">
      <c r="A226" s="431"/>
      <c r="B226" s="431"/>
      <c r="C226" s="432" t="s">
        <v>576</v>
      </c>
      <c r="D226" s="434">
        <v>-158844690</v>
      </c>
      <c r="E226" s="434">
        <v>-158844690</v>
      </c>
    </row>
    <row r="227" spans="1:5" ht="15">
      <c r="A227" s="431"/>
      <c r="B227" s="431"/>
      <c r="C227" s="432" t="s">
        <v>578</v>
      </c>
      <c r="D227" s="434">
        <v>-2916445</v>
      </c>
      <c r="E227" s="434">
        <v>-2916445</v>
      </c>
    </row>
    <row r="228" spans="1:5" ht="15">
      <c r="A228" s="431"/>
      <c r="B228" s="431"/>
      <c r="C228" s="432" t="s">
        <v>579</v>
      </c>
      <c r="D228" s="434">
        <v>79422346</v>
      </c>
      <c r="E228" s="434">
        <v>79422346</v>
      </c>
    </row>
    <row r="229" spans="1:5" ht="15">
      <c r="A229" s="431"/>
      <c r="B229" s="431"/>
      <c r="C229" s="432" t="s">
        <v>581</v>
      </c>
      <c r="D229" s="434">
        <v>1458223</v>
      </c>
      <c r="E229" s="434">
        <v>1458223</v>
      </c>
    </row>
    <row r="230" spans="1:5" ht="15">
      <c r="A230" s="431"/>
      <c r="B230" s="431"/>
      <c r="C230" s="432" t="s">
        <v>582</v>
      </c>
      <c r="D230" s="434">
        <v>57532544</v>
      </c>
      <c r="E230" s="434">
        <v>57532544</v>
      </c>
    </row>
    <row r="231" spans="1:5" ht="15">
      <c r="A231" s="431"/>
      <c r="B231" s="431"/>
      <c r="C231" s="432" t="s">
        <v>584</v>
      </c>
      <c r="D231" s="434">
        <v>1915133</v>
      </c>
      <c r="E231" s="434">
        <v>1915133</v>
      </c>
    </row>
    <row r="232" spans="1:5" ht="15">
      <c r="A232" s="431"/>
      <c r="B232" s="431"/>
      <c r="C232" s="432" t="s">
        <v>641</v>
      </c>
      <c r="D232" s="434">
        <v>-2000</v>
      </c>
      <c r="E232" s="434">
        <v>-2000</v>
      </c>
    </row>
    <row r="233" spans="1:5" ht="15">
      <c r="A233" s="431"/>
      <c r="B233" s="431"/>
      <c r="C233" s="432" t="s">
        <v>642</v>
      </c>
      <c r="D233" s="437">
        <v>8600000000</v>
      </c>
      <c r="E233" s="434">
        <v>8600000000</v>
      </c>
    </row>
    <row r="234" spans="1:5" ht="15">
      <c r="A234" s="431"/>
      <c r="B234" s="431"/>
      <c r="C234" s="432" t="s">
        <v>643</v>
      </c>
      <c r="D234" s="434">
        <v>-250000000</v>
      </c>
      <c r="E234" s="434">
        <v>-250000000</v>
      </c>
    </row>
    <row r="235" spans="1:5" ht="15">
      <c r="A235" s="431"/>
      <c r="B235" s="431"/>
      <c r="C235" s="431" t="s">
        <v>586</v>
      </c>
      <c r="D235" s="434">
        <v>-443700251</v>
      </c>
      <c r="E235" s="434">
        <v>-443700251</v>
      </c>
    </row>
    <row r="236" spans="1:5" ht="15">
      <c r="A236" s="431"/>
      <c r="B236" s="431"/>
      <c r="C236" s="431" t="s">
        <v>587</v>
      </c>
      <c r="D236" s="434">
        <v>-8146495</v>
      </c>
      <c r="E236" s="434">
        <v>-8146495</v>
      </c>
    </row>
    <row r="237" spans="1:5" ht="15">
      <c r="A237" s="431"/>
      <c r="B237" s="431"/>
      <c r="C237" s="431" t="s">
        <v>588</v>
      </c>
      <c r="D237" s="434">
        <v>221850128</v>
      </c>
      <c r="E237" s="434">
        <v>221850128</v>
      </c>
    </row>
    <row r="238" spans="1:5" ht="15">
      <c r="A238" s="431"/>
      <c r="B238" s="431"/>
      <c r="C238" s="431" t="s">
        <v>589</v>
      </c>
      <c r="D238" s="434">
        <v>4073248</v>
      </c>
      <c r="E238" s="434">
        <v>4073248</v>
      </c>
    </row>
    <row r="239" spans="1:5" ht="15">
      <c r="A239" s="431"/>
      <c r="B239" s="431"/>
      <c r="C239" s="432" t="s">
        <v>644</v>
      </c>
      <c r="D239" s="434">
        <v>-1200000000</v>
      </c>
      <c r="E239" s="434">
        <v>-1200000000</v>
      </c>
    </row>
    <row r="240" spans="1:5" ht="15">
      <c r="A240" s="431"/>
      <c r="B240" s="431"/>
      <c r="C240" s="431" t="s">
        <v>645</v>
      </c>
      <c r="D240" s="434">
        <v>-382579325</v>
      </c>
      <c r="E240" s="434">
        <v>-382579325</v>
      </c>
    </row>
    <row r="241" spans="1:5" ht="15">
      <c r="A241" s="431"/>
      <c r="B241" s="431"/>
      <c r="C241" s="431" t="s">
        <v>592</v>
      </c>
      <c r="D241" s="434">
        <v>-545291</v>
      </c>
      <c r="E241" s="434">
        <v>-545291</v>
      </c>
    </row>
    <row r="242" spans="1:5" ht="15">
      <c r="A242" s="431"/>
      <c r="B242" s="431"/>
      <c r="C242" s="431" t="s">
        <v>646</v>
      </c>
      <c r="D242" s="434">
        <v>-16401513</v>
      </c>
      <c r="E242" s="434">
        <v>-16401513</v>
      </c>
    </row>
    <row r="243" spans="1:5" ht="15">
      <c r="A243" s="431"/>
      <c r="B243" s="431"/>
      <c r="C243" s="431" t="s">
        <v>647</v>
      </c>
      <c r="D243" s="434">
        <v>-150000000</v>
      </c>
      <c r="E243" s="434">
        <v>-150000000</v>
      </c>
    </row>
    <row r="244" spans="1:5" ht="15">
      <c r="A244" s="431"/>
      <c r="B244" s="431"/>
      <c r="C244" s="431" t="s">
        <v>599</v>
      </c>
      <c r="D244" s="434">
        <v>34703441</v>
      </c>
      <c r="E244" s="434">
        <v>34703441</v>
      </c>
    </row>
    <row r="245" spans="1:5" ht="15">
      <c r="A245" s="431"/>
      <c r="B245" s="432" t="s">
        <v>464</v>
      </c>
      <c r="C245" s="432"/>
      <c r="D245" s="434">
        <v>6560655254</v>
      </c>
      <c r="E245" s="434">
        <v>6565655254</v>
      </c>
    </row>
    <row r="246" spans="1:5" ht="15">
      <c r="A246" s="431"/>
      <c r="B246" s="433">
        <v>43589</v>
      </c>
      <c r="C246" s="432" t="s">
        <v>560</v>
      </c>
      <c r="D246" s="434">
        <v>5856563521</v>
      </c>
      <c r="E246" s="434">
        <v>0</v>
      </c>
    </row>
    <row r="247" spans="1:5" ht="15">
      <c r="A247" s="431"/>
      <c r="B247" s="432" t="s">
        <v>435</v>
      </c>
      <c r="C247" s="432"/>
      <c r="D247" s="434">
        <v>5856563521</v>
      </c>
      <c r="E247" s="434">
        <v>0</v>
      </c>
    </row>
    <row r="248" spans="1:5" ht="30">
      <c r="A248" s="435" t="s">
        <v>452</v>
      </c>
      <c r="B248" s="435"/>
      <c r="C248" s="435"/>
      <c r="D248" s="436">
        <v>28467581965</v>
      </c>
      <c r="E248" s="436">
        <v>28563465232</v>
      </c>
    </row>
    <row r="249" spans="1:5" ht="15">
      <c r="A249" s="431" t="s">
        <v>70</v>
      </c>
      <c r="B249" s="433">
        <v>43539</v>
      </c>
      <c r="C249" s="432" t="s">
        <v>600</v>
      </c>
      <c r="D249" s="434">
        <v>7696000</v>
      </c>
      <c r="E249" s="434">
        <v>11269000</v>
      </c>
    </row>
    <row r="250" spans="1:5" ht="15">
      <c r="A250" s="431"/>
      <c r="B250" s="431"/>
      <c r="C250" s="432" t="s">
        <v>601</v>
      </c>
      <c r="D250" s="434">
        <v>12986000</v>
      </c>
      <c r="E250" s="434">
        <v>14828000</v>
      </c>
    </row>
    <row r="251" spans="1:5" ht="15">
      <c r="A251" s="431"/>
      <c r="B251" s="431"/>
      <c r="C251" s="432" t="s">
        <v>602</v>
      </c>
      <c r="D251" s="434">
        <v>54995000</v>
      </c>
      <c r="E251" s="434">
        <v>52988000</v>
      </c>
    </row>
    <row r="252" spans="1:5" ht="15">
      <c r="A252" s="431"/>
      <c r="B252" s="431"/>
      <c r="C252" s="432" t="s">
        <v>604</v>
      </c>
      <c r="D252" s="434">
        <v>102000000</v>
      </c>
      <c r="E252" s="434">
        <v>102000000</v>
      </c>
    </row>
    <row r="253" spans="1:5" ht="15">
      <c r="A253" s="431"/>
      <c r="B253" s="431"/>
      <c r="C253" s="431" t="s">
        <v>648</v>
      </c>
      <c r="D253" s="434"/>
      <c r="E253" s="434"/>
    </row>
    <row r="254" spans="1:6" ht="30">
      <c r="A254" s="431"/>
      <c r="B254" s="432" t="s">
        <v>527</v>
      </c>
      <c r="C254" s="432"/>
      <c r="D254" s="434">
        <v>177677000</v>
      </c>
      <c r="E254" s="434">
        <v>181085000</v>
      </c>
      <c r="F254" s="543"/>
    </row>
    <row r="255" spans="1:5" ht="15">
      <c r="A255" s="431"/>
      <c r="B255" s="433">
        <v>43587</v>
      </c>
      <c r="C255" s="432" t="s">
        <v>544</v>
      </c>
      <c r="D255" s="434">
        <v>0</v>
      </c>
      <c r="E255" s="434"/>
    </row>
    <row r="256" spans="1:5" ht="15">
      <c r="A256" s="431"/>
      <c r="B256" s="431"/>
      <c r="C256" s="432" t="s">
        <v>567</v>
      </c>
      <c r="D256" s="434">
        <v>0</v>
      </c>
      <c r="E256" s="434">
        <v>0</v>
      </c>
    </row>
    <row r="257" spans="1:5" ht="15">
      <c r="A257" s="431"/>
      <c r="B257" s="431"/>
      <c r="C257" s="432" t="s">
        <v>571</v>
      </c>
      <c r="D257" s="434">
        <v>6224586</v>
      </c>
      <c r="E257" s="434">
        <v>6224586</v>
      </c>
    </row>
    <row r="258" spans="1:5" ht="15">
      <c r="A258" s="431"/>
      <c r="B258" s="431"/>
      <c r="C258" s="432" t="s">
        <v>575</v>
      </c>
      <c r="D258" s="434">
        <v>0</v>
      </c>
      <c r="E258" s="434">
        <v>0</v>
      </c>
    </row>
    <row r="259" spans="1:5" ht="15">
      <c r="A259" s="431"/>
      <c r="B259" s="431"/>
      <c r="C259" s="432" t="s">
        <v>576</v>
      </c>
      <c r="D259" s="434">
        <v>-107404309</v>
      </c>
      <c r="E259" s="434">
        <v>-107404309</v>
      </c>
    </row>
    <row r="260" spans="1:5" ht="15">
      <c r="A260" s="431"/>
      <c r="B260" s="431"/>
      <c r="C260" s="432" t="s">
        <v>578</v>
      </c>
      <c r="D260" s="434">
        <v>-3393505</v>
      </c>
      <c r="E260" s="434">
        <v>-3393505</v>
      </c>
    </row>
    <row r="261" spans="1:5" ht="15">
      <c r="A261" s="431"/>
      <c r="B261" s="431"/>
      <c r="C261" s="432" t="s">
        <v>579</v>
      </c>
      <c r="D261" s="434">
        <v>53702154</v>
      </c>
      <c r="E261" s="434">
        <v>53702154</v>
      </c>
    </row>
    <row r="262" spans="1:5" ht="15">
      <c r="A262" s="431"/>
      <c r="B262" s="431"/>
      <c r="C262" s="432" t="s">
        <v>581</v>
      </c>
      <c r="D262" s="434">
        <v>1696753</v>
      </c>
      <c r="E262" s="434">
        <v>1696753</v>
      </c>
    </row>
    <row r="263" spans="1:5" ht="15">
      <c r="A263" s="431"/>
      <c r="B263" s="431"/>
      <c r="C263" s="432" t="s">
        <v>584</v>
      </c>
      <c r="D263" s="434">
        <v>2228402</v>
      </c>
      <c r="E263" s="434">
        <v>2228402</v>
      </c>
    </row>
    <row r="264" spans="1:5" ht="15">
      <c r="A264" s="431"/>
      <c r="B264" s="431"/>
      <c r="C264" s="432" t="s">
        <v>649</v>
      </c>
      <c r="D264" s="434">
        <v>0</v>
      </c>
      <c r="E264" s="434">
        <v>0</v>
      </c>
    </row>
    <row r="265" spans="1:5" ht="15">
      <c r="A265" s="431"/>
      <c r="B265" s="431"/>
      <c r="C265" s="432" t="s">
        <v>650</v>
      </c>
      <c r="D265" s="434">
        <v>0</v>
      </c>
      <c r="E265" s="434">
        <v>0</v>
      </c>
    </row>
    <row r="266" spans="1:5" ht="15">
      <c r="A266" s="431"/>
      <c r="B266" s="431"/>
      <c r="C266" s="432" t="s">
        <v>651</v>
      </c>
      <c r="D266" s="434">
        <v>685707534</v>
      </c>
      <c r="E266" s="434">
        <v>685707534</v>
      </c>
    </row>
    <row r="267" spans="1:5" ht="15">
      <c r="A267" s="431"/>
      <c r="B267" s="431"/>
      <c r="C267" s="432" t="s">
        <v>652</v>
      </c>
      <c r="D267" s="434">
        <v>0</v>
      </c>
      <c r="E267" s="434">
        <v>-133647</v>
      </c>
    </row>
    <row r="268" spans="1:5" ht="15">
      <c r="A268" s="431"/>
      <c r="B268" s="431"/>
      <c r="C268" s="432" t="s">
        <v>653</v>
      </c>
      <c r="D268" s="434">
        <v>0</v>
      </c>
      <c r="E268" s="434">
        <v>0</v>
      </c>
    </row>
    <row r="269" spans="1:5" ht="15">
      <c r="A269" s="431"/>
      <c r="B269" s="431"/>
      <c r="C269" s="432" t="s">
        <v>654</v>
      </c>
      <c r="D269" s="434">
        <v>245483297</v>
      </c>
      <c r="E269" s="434">
        <v>245483297</v>
      </c>
    </row>
    <row r="270" spans="1:5" ht="15">
      <c r="A270" s="431"/>
      <c r="B270" s="431"/>
      <c r="C270" s="432" t="s">
        <v>641</v>
      </c>
      <c r="D270" s="434">
        <v>1</v>
      </c>
      <c r="E270" s="434">
        <v>1</v>
      </c>
    </row>
    <row r="271" spans="1:5" ht="15">
      <c r="A271" s="431"/>
      <c r="B271" s="431"/>
      <c r="C271" s="431" t="s">
        <v>586</v>
      </c>
      <c r="D271" s="434">
        <v>-300012036</v>
      </c>
      <c r="E271" s="434">
        <v>-300012036</v>
      </c>
    </row>
    <row r="272" spans="1:5" ht="15">
      <c r="A272" s="431"/>
      <c r="B272" s="431"/>
      <c r="C272" s="431" t="s">
        <v>587</v>
      </c>
      <c r="D272" s="434">
        <v>-9479065</v>
      </c>
      <c r="E272" s="434">
        <v>-9479065</v>
      </c>
    </row>
    <row r="273" spans="1:5" ht="15">
      <c r="A273" s="431"/>
      <c r="B273" s="431"/>
      <c r="C273" s="431" t="s">
        <v>589</v>
      </c>
      <c r="D273" s="434">
        <v>4739533</v>
      </c>
      <c r="E273" s="434">
        <v>4739533</v>
      </c>
    </row>
    <row r="274" spans="1:5" ht="15">
      <c r="A274" s="431"/>
      <c r="B274" s="431"/>
      <c r="C274" s="431" t="s">
        <v>591</v>
      </c>
      <c r="D274" s="434">
        <v>-68718202</v>
      </c>
      <c r="E274" s="434">
        <v>-68688215</v>
      </c>
    </row>
    <row r="275" spans="1:5" ht="15">
      <c r="A275" s="431"/>
      <c r="B275" s="431"/>
      <c r="C275" s="431" t="s">
        <v>592</v>
      </c>
      <c r="D275" s="434">
        <v>-650878</v>
      </c>
      <c r="E275" s="434">
        <v>-650878</v>
      </c>
    </row>
    <row r="276" spans="1:5" ht="15">
      <c r="A276" s="431"/>
      <c r="B276" s="431"/>
      <c r="C276" s="431" t="s">
        <v>655</v>
      </c>
      <c r="D276" s="434">
        <v>0</v>
      </c>
      <c r="E276" s="434">
        <v>0</v>
      </c>
    </row>
    <row r="277" spans="1:5" ht="15">
      <c r="A277" s="431"/>
      <c r="B277" s="431"/>
      <c r="C277" s="431" t="s">
        <v>656</v>
      </c>
      <c r="D277" s="434">
        <v>0</v>
      </c>
      <c r="E277" s="434">
        <v>0</v>
      </c>
    </row>
    <row r="278" spans="1:5" ht="15">
      <c r="A278" s="431"/>
      <c r="B278" s="431"/>
      <c r="C278" s="431" t="s">
        <v>657</v>
      </c>
      <c r="D278" s="434">
        <v>0</v>
      </c>
      <c r="E278" s="434">
        <v>0</v>
      </c>
    </row>
    <row r="279" spans="1:5" ht="15">
      <c r="A279" s="431"/>
      <c r="B279" s="431"/>
      <c r="C279" s="431" t="s">
        <v>658</v>
      </c>
      <c r="D279" s="434">
        <v>0</v>
      </c>
      <c r="E279" s="434">
        <v>-373317</v>
      </c>
    </row>
    <row r="280" spans="1:5" ht="15">
      <c r="A280" s="431"/>
      <c r="B280" s="431"/>
      <c r="C280" s="431" t="s">
        <v>659</v>
      </c>
      <c r="D280" s="434">
        <v>150006019</v>
      </c>
      <c r="E280" s="434">
        <v>150006019</v>
      </c>
    </row>
    <row r="281" spans="1:5" ht="15">
      <c r="A281" s="431"/>
      <c r="B281" s="431"/>
      <c r="C281" s="431" t="s">
        <v>660</v>
      </c>
      <c r="D281" s="434">
        <v>148282260</v>
      </c>
      <c r="E281" s="434">
        <v>148282260</v>
      </c>
    </row>
    <row r="282" spans="1:5" ht="15">
      <c r="A282" s="431"/>
      <c r="B282" s="431"/>
      <c r="C282" s="431" t="s">
        <v>661</v>
      </c>
      <c r="D282" s="434">
        <v>53085049</v>
      </c>
      <c r="E282" s="434">
        <v>53085049</v>
      </c>
    </row>
    <row r="283" spans="1:5" ht="15">
      <c r="A283" s="431"/>
      <c r="B283" s="431"/>
      <c r="C283" s="431" t="s">
        <v>800</v>
      </c>
      <c r="D283" s="434">
        <v>-607919012</v>
      </c>
      <c r="E283" s="434">
        <v>-607919012</v>
      </c>
    </row>
    <row r="284" spans="1:5" ht="15">
      <c r="A284" s="431"/>
      <c r="B284" s="432" t="s">
        <v>464</v>
      </c>
      <c r="C284" s="432"/>
      <c r="D284" s="434">
        <v>253578581</v>
      </c>
      <c r="E284" s="434">
        <v>253101604</v>
      </c>
    </row>
    <row r="285" spans="1:5" ht="15">
      <c r="A285" s="431"/>
      <c r="B285" s="433">
        <v>43589</v>
      </c>
      <c r="C285" s="432" t="s">
        <v>560</v>
      </c>
      <c r="D285" s="434">
        <v>1253191497</v>
      </c>
      <c r="E285" s="434">
        <v>0</v>
      </c>
    </row>
    <row r="286" spans="1:5" ht="15">
      <c r="A286" s="431"/>
      <c r="B286" s="432" t="s">
        <v>435</v>
      </c>
      <c r="C286" s="432"/>
      <c r="D286" s="434">
        <v>1253191497</v>
      </c>
      <c r="E286" s="434">
        <v>0</v>
      </c>
    </row>
    <row r="287" spans="1:5" ht="15">
      <c r="A287" s="435" t="s">
        <v>453</v>
      </c>
      <c r="B287" s="435"/>
      <c r="C287" s="435"/>
      <c r="D287" s="436">
        <v>1684447078</v>
      </c>
      <c r="E287" s="436">
        <v>434186604</v>
      </c>
    </row>
    <row r="288" spans="1:5" ht="15">
      <c r="A288" s="431" t="s">
        <v>454</v>
      </c>
      <c r="B288" s="433">
        <v>43587</v>
      </c>
      <c r="C288" s="432" t="s">
        <v>544</v>
      </c>
      <c r="D288" s="434">
        <v>11019551</v>
      </c>
      <c r="E288" s="434">
        <v>18884942</v>
      </c>
    </row>
    <row r="289" spans="1:5" ht="15">
      <c r="A289" s="431"/>
      <c r="B289" s="431"/>
      <c r="C289" s="432" t="s">
        <v>567</v>
      </c>
      <c r="D289" s="434">
        <v>0</v>
      </c>
      <c r="E289" s="434">
        <v>0</v>
      </c>
    </row>
    <row r="290" spans="1:5" ht="15">
      <c r="A290" s="431"/>
      <c r="B290" s="431"/>
      <c r="C290" s="432" t="s">
        <v>568</v>
      </c>
      <c r="D290" s="434">
        <v>27594228</v>
      </c>
      <c r="E290" s="434">
        <v>27594228</v>
      </c>
    </row>
    <row r="291" spans="1:5" ht="15">
      <c r="A291" s="431"/>
      <c r="B291" s="431"/>
      <c r="C291" s="432" t="s">
        <v>569</v>
      </c>
      <c r="D291" s="434">
        <v>15603575</v>
      </c>
      <c r="E291" s="434">
        <v>15603575</v>
      </c>
    </row>
    <row r="292" spans="1:5" ht="15">
      <c r="A292" s="431"/>
      <c r="B292" s="431"/>
      <c r="C292" s="432" t="s">
        <v>571</v>
      </c>
      <c r="D292" s="434">
        <v>14101615</v>
      </c>
      <c r="E292" s="434">
        <v>14101615</v>
      </c>
    </row>
    <row r="293" spans="1:5" ht="15">
      <c r="A293" s="431"/>
      <c r="B293" s="431"/>
      <c r="C293" s="432" t="s">
        <v>575</v>
      </c>
      <c r="D293" s="434">
        <v>0</v>
      </c>
      <c r="E293" s="434">
        <v>0</v>
      </c>
    </row>
    <row r="294" spans="1:5" ht="15">
      <c r="A294" s="431"/>
      <c r="B294" s="431"/>
      <c r="C294" s="432" t="s">
        <v>576</v>
      </c>
      <c r="D294" s="434">
        <v>-20426560</v>
      </c>
      <c r="E294" s="434">
        <v>-20426560</v>
      </c>
    </row>
    <row r="295" spans="1:5" ht="15">
      <c r="A295" s="431"/>
      <c r="B295" s="431"/>
      <c r="C295" s="432" t="s">
        <v>578</v>
      </c>
      <c r="D295" s="434">
        <v>-7687886</v>
      </c>
      <c r="E295" s="434">
        <v>-7687886</v>
      </c>
    </row>
    <row r="296" spans="1:5" ht="15">
      <c r="A296" s="431"/>
      <c r="B296" s="431"/>
      <c r="C296" s="432" t="s">
        <v>579</v>
      </c>
      <c r="D296" s="434">
        <v>10213280</v>
      </c>
      <c r="E296" s="434">
        <v>10213280</v>
      </c>
    </row>
    <row r="297" spans="1:5" ht="15">
      <c r="A297" s="431"/>
      <c r="B297" s="431"/>
      <c r="C297" s="432" t="s">
        <v>581</v>
      </c>
      <c r="D297" s="434">
        <v>3843942</v>
      </c>
      <c r="E297" s="434">
        <v>3843942</v>
      </c>
    </row>
    <row r="298" spans="1:5" ht="15">
      <c r="A298" s="431"/>
      <c r="B298" s="431"/>
      <c r="C298" s="432" t="s">
        <v>582</v>
      </c>
      <c r="D298" s="434">
        <v>5586080</v>
      </c>
      <c r="E298" s="434">
        <v>5586080</v>
      </c>
    </row>
    <row r="299" spans="1:5" ht="15">
      <c r="A299" s="431"/>
      <c r="B299" s="431"/>
      <c r="C299" s="432" t="s">
        <v>584</v>
      </c>
      <c r="D299" s="434">
        <v>5048378</v>
      </c>
      <c r="E299" s="434">
        <v>5048378</v>
      </c>
    </row>
    <row r="300" spans="1:5" ht="15">
      <c r="A300" s="431"/>
      <c r="B300" s="431"/>
      <c r="C300" s="432" t="s">
        <v>641</v>
      </c>
      <c r="D300" s="434">
        <v>1</v>
      </c>
      <c r="E300" s="434">
        <v>1</v>
      </c>
    </row>
    <row r="301" spans="1:5" ht="15">
      <c r="A301" s="431"/>
      <c r="B301" s="431"/>
      <c r="C301" s="431" t="s">
        <v>586</v>
      </c>
      <c r="D301" s="434">
        <v>-57057429</v>
      </c>
      <c r="E301" s="434">
        <v>-57057429</v>
      </c>
    </row>
    <row r="302" spans="1:5" ht="15">
      <c r="A302" s="431"/>
      <c r="B302" s="431"/>
      <c r="C302" s="431" t="s">
        <v>587</v>
      </c>
      <c r="D302" s="434">
        <v>-21474540</v>
      </c>
      <c r="E302" s="434">
        <v>-21474540</v>
      </c>
    </row>
    <row r="303" spans="1:5" ht="15">
      <c r="A303" s="431"/>
      <c r="B303" s="431"/>
      <c r="C303" s="431" t="s">
        <v>588</v>
      </c>
      <c r="D303" s="434">
        <v>28528716</v>
      </c>
      <c r="E303" s="434">
        <v>28528716</v>
      </c>
    </row>
    <row r="304" spans="1:5" ht="15">
      <c r="A304" s="431"/>
      <c r="B304" s="431"/>
      <c r="C304" s="431" t="s">
        <v>589</v>
      </c>
      <c r="D304" s="434">
        <v>10737270</v>
      </c>
      <c r="E304" s="434">
        <v>10737270</v>
      </c>
    </row>
    <row r="305" spans="1:5" ht="15">
      <c r="A305" s="431"/>
      <c r="B305" s="431"/>
      <c r="C305" s="431" t="s">
        <v>553</v>
      </c>
      <c r="D305" s="434">
        <v>-77360414</v>
      </c>
      <c r="E305" s="434">
        <v>-77360414</v>
      </c>
    </row>
    <row r="306" spans="1:5" ht="15">
      <c r="A306" s="431"/>
      <c r="B306" s="431"/>
      <c r="C306" s="431" t="s">
        <v>662</v>
      </c>
      <c r="D306" s="434">
        <v>-2387855000</v>
      </c>
      <c r="E306" s="434">
        <v>-3171585000</v>
      </c>
    </row>
    <row r="307" spans="1:5" ht="15">
      <c r="A307" s="431"/>
      <c r="B307" s="431"/>
      <c r="C307" s="431" t="s">
        <v>591</v>
      </c>
      <c r="D307" s="434">
        <v>-1581247</v>
      </c>
      <c r="E307" s="434">
        <v>-1581247</v>
      </c>
    </row>
    <row r="308" spans="1:5" ht="15">
      <c r="A308" s="431"/>
      <c r="B308" s="431"/>
      <c r="C308" s="431" t="s">
        <v>592</v>
      </c>
      <c r="D308" s="434">
        <v>-1472134</v>
      </c>
      <c r="E308" s="434">
        <v>-1472134</v>
      </c>
    </row>
    <row r="309" spans="1:5" ht="15">
      <c r="A309" s="431"/>
      <c r="B309" s="431"/>
      <c r="C309" s="431" t="s">
        <v>599</v>
      </c>
      <c r="D309" s="434">
        <v>9878734</v>
      </c>
      <c r="E309" s="434">
        <v>9878734</v>
      </c>
    </row>
    <row r="310" spans="1:5" ht="15">
      <c r="A310" s="431"/>
      <c r="B310" s="432" t="s">
        <v>464</v>
      </c>
      <c r="C310" s="432"/>
      <c r="D310" s="434">
        <v>-2432759840</v>
      </c>
      <c r="E310" s="434">
        <v>-3208624449</v>
      </c>
    </row>
    <row r="311" spans="1:5" ht="15">
      <c r="A311" s="431"/>
      <c r="B311" s="433">
        <v>43589</v>
      </c>
      <c r="C311" s="432" t="s">
        <v>560</v>
      </c>
      <c r="D311" s="434">
        <v>9555150000</v>
      </c>
      <c r="E311" s="434">
        <v>0</v>
      </c>
    </row>
    <row r="312" spans="1:5" ht="15">
      <c r="A312" s="431"/>
      <c r="B312" s="432" t="s">
        <v>435</v>
      </c>
      <c r="C312" s="432"/>
      <c r="D312" s="434">
        <v>9555150000</v>
      </c>
      <c r="E312" s="434">
        <v>0</v>
      </c>
    </row>
    <row r="313" spans="1:5" ht="30">
      <c r="A313" s="435" t="s">
        <v>456</v>
      </c>
      <c r="B313" s="435"/>
      <c r="C313" s="435"/>
      <c r="D313" s="436">
        <v>7122390160</v>
      </c>
      <c r="E313" s="436">
        <v>-3208624449</v>
      </c>
    </row>
    <row r="314" spans="1:5" ht="15">
      <c r="A314" s="431" t="s">
        <v>457</v>
      </c>
      <c r="B314" s="433">
        <v>43480</v>
      </c>
      <c r="C314" s="431" t="s">
        <v>663</v>
      </c>
      <c r="D314" s="434">
        <v>-100000000</v>
      </c>
      <c r="E314" s="434">
        <v>-100000000</v>
      </c>
    </row>
    <row r="315" spans="1:5" ht="15">
      <c r="A315" s="431"/>
      <c r="B315" s="431"/>
      <c r="C315" s="431" t="s">
        <v>664</v>
      </c>
      <c r="D315" s="434">
        <v>-200000000</v>
      </c>
      <c r="E315" s="434">
        <v>-200000000</v>
      </c>
    </row>
    <row r="316" spans="1:5" ht="30">
      <c r="A316" s="431"/>
      <c r="B316" s="432" t="s">
        <v>524</v>
      </c>
      <c r="C316" s="432"/>
      <c r="D316" s="434">
        <v>-300000000</v>
      </c>
      <c r="E316" s="434">
        <v>-300000000</v>
      </c>
    </row>
    <row r="317" spans="1:5" ht="15">
      <c r="A317" s="431"/>
      <c r="B317" s="433">
        <v>43587</v>
      </c>
      <c r="C317" s="432" t="s">
        <v>665</v>
      </c>
      <c r="D317" s="437">
        <v>-100000000</v>
      </c>
      <c r="E317" s="434">
        <v>-100000000</v>
      </c>
    </row>
    <row r="318" spans="1:5" ht="15">
      <c r="A318" s="431"/>
      <c r="B318" s="431"/>
      <c r="C318" s="432" t="s">
        <v>666</v>
      </c>
      <c r="D318" s="434">
        <v>340000000</v>
      </c>
      <c r="E318" s="434">
        <v>340000000</v>
      </c>
    </row>
    <row r="319" spans="1:5" ht="15">
      <c r="A319" s="431"/>
      <c r="B319" s="431"/>
      <c r="C319" s="432" t="s">
        <v>566</v>
      </c>
      <c r="D319" s="434">
        <v>-20000000</v>
      </c>
      <c r="E319" s="434">
        <v>-20000000</v>
      </c>
    </row>
    <row r="320" spans="1:5" ht="15">
      <c r="A320" s="431"/>
      <c r="B320" s="431"/>
      <c r="C320" s="432" t="s">
        <v>567</v>
      </c>
      <c r="D320" s="434">
        <v>-116400</v>
      </c>
      <c r="E320" s="434">
        <v>-116400</v>
      </c>
    </row>
    <row r="321" spans="1:5" ht="15">
      <c r="A321" s="431"/>
      <c r="B321" s="431"/>
      <c r="C321" s="432" t="s">
        <v>568</v>
      </c>
      <c r="D321" s="434">
        <v>18814632</v>
      </c>
      <c r="E321" s="434">
        <v>18814632</v>
      </c>
    </row>
    <row r="322" spans="1:5" ht="15">
      <c r="A322" s="431"/>
      <c r="B322" s="431"/>
      <c r="C322" s="432" t="s">
        <v>569</v>
      </c>
      <c r="D322" s="434">
        <v>5640547</v>
      </c>
      <c r="E322" s="434">
        <v>5640547</v>
      </c>
    </row>
    <row r="323" spans="1:5" ht="15">
      <c r="A323" s="431"/>
      <c r="B323" s="431"/>
      <c r="C323" s="432" t="s">
        <v>571</v>
      </c>
      <c r="D323" s="434">
        <v>1892160</v>
      </c>
      <c r="E323" s="434">
        <v>1892160</v>
      </c>
    </row>
    <row r="324" spans="1:5" ht="15">
      <c r="A324" s="431"/>
      <c r="B324" s="431"/>
      <c r="C324" s="432" t="s">
        <v>575</v>
      </c>
      <c r="D324" s="434">
        <v>-39343</v>
      </c>
      <c r="E324" s="434">
        <v>-39343</v>
      </c>
    </row>
    <row r="325" spans="1:5" ht="15">
      <c r="A325" s="431"/>
      <c r="B325" s="431"/>
      <c r="C325" s="432" t="s">
        <v>576</v>
      </c>
      <c r="D325" s="434">
        <v>-10496788</v>
      </c>
      <c r="E325" s="434">
        <v>-10496788</v>
      </c>
    </row>
    <row r="326" spans="1:5" ht="15">
      <c r="A326" s="431"/>
      <c r="B326" s="431"/>
      <c r="C326" s="432" t="s">
        <v>578</v>
      </c>
      <c r="D326" s="434">
        <v>-1031563</v>
      </c>
      <c r="E326" s="434">
        <v>-1031563</v>
      </c>
    </row>
    <row r="327" spans="1:5" ht="15">
      <c r="A327" s="431"/>
      <c r="B327" s="431"/>
      <c r="C327" s="432" t="s">
        <v>579</v>
      </c>
      <c r="D327" s="434">
        <v>5248394</v>
      </c>
      <c r="E327" s="434">
        <v>5248394</v>
      </c>
    </row>
    <row r="328" spans="1:5" ht="15">
      <c r="A328" s="431"/>
      <c r="B328" s="431"/>
      <c r="C328" s="432" t="s">
        <v>581</v>
      </c>
      <c r="D328" s="434">
        <v>515782</v>
      </c>
      <c r="E328" s="434">
        <v>515782</v>
      </c>
    </row>
    <row r="329" spans="1:5" ht="15">
      <c r="A329" s="431"/>
      <c r="B329" s="431"/>
      <c r="C329" s="432" t="s">
        <v>582</v>
      </c>
      <c r="D329" s="434">
        <v>2019316</v>
      </c>
      <c r="E329" s="434">
        <v>2019316</v>
      </c>
    </row>
    <row r="330" spans="1:5" ht="15">
      <c r="A330" s="431"/>
      <c r="B330" s="431"/>
      <c r="C330" s="432" t="s">
        <v>584</v>
      </c>
      <c r="D330" s="434">
        <v>677393</v>
      </c>
      <c r="E330" s="434">
        <v>677393</v>
      </c>
    </row>
    <row r="331" spans="1:5" ht="15">
      <c r="A331" s="431"/>
      <c r="B331" s="431"/>
      <c r="C331" s="431" t="s">
        <v>586</v>
      </c>
      <c r="D331" s="434">
        <v>-29320636</v>
      </c>
      <c r="E331" s="434">
        <v>-29320636</v>
      </c>
    </row>
    <row r="332" spans="1:5" ht="15">
      <c r="A332" s="431"/>
      <c r="B332" s="431"/>
      <c r="C332" s="431" t="s">
        <v>587</v>
      </c>
      <c r="D332" s="434">
        <v>-2881461</v>
      </c>
      <c r="E332" s="434">
        <v>-2881461</v>
      </c>
    </row>
    <row r="333" spans="1:5" ht="15">
      <c r="A333" s="431"/>
      <c r="B333" s="431"/>
      <c r="C333" s="431" t="s">
        <v>588</v>
      </c>
      <c r="D333" s="434">
        <v>14660319</v>
      </c>
      <c r="E333" s="434">
        <v>14660319</v>
      </c>
    </row>
    <row r="334" spans="1:5" ht="15">
      <c r="A334" s="431"/>
      <c r="B334" s="431"/>
      <c r="C334" s="431" t="s">
        <v>589</v>
      </c>
      <c r="D334" s="434">
        <v>1440731</v>
      </c>
      <c r="E334" s="434">
        <v>1440731</v>
      </c>
    </row>
    <row r="335" spans="1:5" ht="15">
      <c r="A335" s="431"/>
      <c r="B335" s="431"/>
      <c r="C335" s="431" t="s">
        <v>553</v>
      </c>
      <c r="D335" s="434">
        <v>-43166869</v>
      </c>
      <c r="E335" s="434">
        <v>-43166869</v>
      </c>
    </row>
    <row r="336" spans="1:5" ht="15">
      <c r="A336" s="431"/>
      <c r="B336" s="431"/>
      <c r="C336" s="431" t="s">
        <v>667</v>
      </c>
      <c r="D336" s="434">
        <v>-340000000</v>
      </c>
      <c r="E336" s="434">
        <v>-340000000</v>
      </c>
    </row>
    <row r="337" spans="1:5" ht="15">
      <c r="A337" s="431"/>
      <c r="B337" s="431"/>
      <c r="C337" s="431" t="s">
        <v>592</v>
      </c>
      <c r="D337" s="434">
        <v>-197296</v>
      </c>
      <c r="E337" s="434">
        <v>-197296</v>
      </c>
    </row>
    <row r="338" spans="1:5" ht="15">
      <c r="A338" s="431"/>
      <c r="B338" s="431"/>
      <c r="C338" s="431" t="s">
        <v>668</v>
      </c>
      <c r="D338" s="434">
        <v>-570682</v>
      </c>
      <c r="E338" s="434">
        <v>-570682</v>
      </c>
    </row>
    <row r="339" spans="1:5" ht="15">
      <c r="A339" s="431"/>
      <c r="B339" s="431"/>
      <c r="C339" s="431" t="s">
        <v>599</v>
      </c>
      <c r="D339" s="434">
        <v>6735639</v>
      </c>
      <c r="E339" s="434">
        <v>6735639</v>
      </c>
    </row>
    <row r="340" spans="1:5" ht="15">
      <c r="A340" s="431"/>
      <c r="B340" s="432" t="s">
        <v>464</v>
      </c>
      <c r="C340" s="432"/>
      <c r="D340" s="434">
        <v>-150176125</v>
      </c>
      <c r="E340" s="434">
        <v>-150176125</v>
      </c>
    </row>
    <row r="341" spans="1:5" ht="15">
      <c r="A341" s="431"/>
      <c r="B341" s="433">
        <v>43589</v>
      </c>
      <c r="C341" s="432" t="s">
        <v>560</v>
      </c>
      <c r="D341" s="434">
        <v>20864177250</v>
      </c>
      <c r="E341" s="434">
        <v>0</v>
      </c>
    </row>
    <row r="342" spans="1:5" ht="15">
      <c r="A342" s="431"/>
      <c r="B342" s="432" t="s">
        <v>435</v>
      </c>
      <c r="C342" s="432"/>
      <c r="D342" s="434">
        <v>20864177250</v>
      </c>
      <c r="E342" s="434">
        <v>0</v>
      </c>
    </row>
    <row r="343" spans="1:5" ht="15">
      <c r="A343" s="431"/>
      <c r="B343" s="433">
        <v>43608</v>
      </c>
      <c r="C343" s="432" t="s">
        <v>669</v>
      </c>
      <c r="D343" s="434"/>
      <c r="E343" s="434">
        <v>-1000000000</v>
      </c>
    </row>
    <row r="344" spans="1:5" ht="30">
      <c r="A344" s="431"/>
      <c r="B344" s="432" t="s">
        <v>614</v>
      </c>
      <c r="C344" s="432"/>
      <c r="D344" s="434"/>
      <c r="E344" s="434">
        <v>-1000000000</v>
      </c>
    </row>
    <row r="345" spans="1:5" ht="30">
      <c r="A345" s="435" t="s">
        <v>458</v>
      </c>
      <c r="B345" s="435"/>
      <c r="C345" s="435"/>
      <c r="D345" s="436">
        <v>20414001125</v>
      </c>
      <c r="E345" s="436">
        <v>-1450176125</v>
      </c>
    </row>
    <row r="346" spans="1:5" ht="15">
      <c r="A346" s="431" t="s">
        <v>670</v>
      </c>
      <c r="B346" s="433">
        <v>43587</v>
      </c>
      <c r="C346" s="432" t="s">
        <v>544</v>
      </c>
      <c r="D346" s="434">
        <v>-100000000</v>
      </c>
      <c r="E346" s="434">
        <v>-100000000</v>
      </c>
    </row>
    <row r="347" spans="1:5" ht="15">
      <c r="A347" s="431"/>
      <c r="B347" s="431"/>
      <c r="C347" s="432" t="s">
        <v>546</v>
      </c>
      <c r="D347" s="434">
        <v>2670600</v>
      </c>
      <c r="E347" s="434">
        <v>2670600</v>
      </c>
    </row>
    <row r="348" spans="1:5" ht="15">
      <c r="A348" s="431"/>
      <c r="B348" s="431"/>
      <c r="C348" s="432" t="s">
        <v>616</v>
      </c>
      <c r="D348" s="434">
        <v>628450</v>
      </c>
      <c r="E348" s="434">
        <v>628450</v>
      </c>
    </row>
    <row r="349" spans="1:5" ht="15">
      <c r="A349" s="431"/>
      <c r="B349" s="431"/>
      <c r="C349" s="432" t="s">
        <v>549</v>
      </c>
      <c r="D349" s="434">
        <v>-576885</v>
      </c>
      <c r="E349" s="434">
        <v>-576885</v>
      </c>
    </row>
    <row r="350" spans="1:5" ht="15">
      <c r="A350" s="431"/>
      <c r="B350" s="431"/>
      <c r="C350" s="432" t="s">
        <v>550</v>
      </c>
      <c r="D350" s="434">
        <v>288442</v>
      </c>
      <c r="E350" s="434">
        <v>288442</v>
      </c>
    </row>
    <row r="351" spans="1:5" ht="15">
      <c r="A351" s="431"/>
      <c r="B351" s="431"/>
      <c r="C351" s="432" t="s">
        <v>551</v>
      </c>
      <c r="D351" s="434">
        <v>224985</v>
      </c>
      <c r="E351" s="434">
        <v>224985</v>
      </c>
    </row>
    <row r="352" spans="1:5" ht="15">
      <c r="A352" s="431"/>
      <c r="B352" s="431"/>
      <c r="C352" s="432" t="s">
        <v>671</v>
      </c>
      <c r="D352" s="434">
        <v>-3296956</v>
      </c>
      <c r="E352" s="434">
        <v>-3296956</v>
      </c>
    </row>
    <row r="353" spans="1:5" ht="15">
      <c r="A353" s="431"/>
      <c r="B353" s="431"/>
      <c r="C353" s="431" t="s">
        <v>555</v>
      </c>
      <c r="D353" s="434">
        <v>-89006</v>
      </c>
      <c r="E353" s="434">
        <v>-89006</v>
      </c>
    </row>
    <row r="354" spans="1:5" ht="15">
      <c r="A354" s="431"/>
      <c r="B354" s="431"/>
      <c r="C354" s="431" t="s">
        <v>557</v>
      </c>
      <c r="D354" s="434">
        <v>805705</v>
      </c>
      <c r="E354" s="434">
        <v>805705</v>
      </c>
    </row>
    <row r="355" spans="1:5" ht="15">
      <c r="A355" s="431"/>
      <c r="B355" s="431"/>
      <c r="C355" s="431" t="s">
        <v>618</v>
      </c>
      <c r="D355" s="434">
        <v>-1611410</v>
      </c>
      <c r="E355" s="434">
        <v>-1611410</v>
      </c>
    </row>
    <row r="356" spans="1:5" ht="15">
      <c r="A356" s="431"/>
      <c r="B356" s="431"/>
      <c r="C356" s="431" t="s">
        <v>672</v>
      </c>
      <c r="D356" s="434">
        <v>956075</v>
      </c>
      <c r="E356" s="434">
        <v>956075</v>
      </c>
    </row>
    <row r="357" spans="1:5" ht="15">
      <c r="A357" s="431"/>
      <c r="B357" s="432" t="s">
        <v>464</v>
      </c>
      <c r="C357" s="432"/>
      <c r="D357" s="434">
        <v>-100000000</v>
      </c>
      <c r="E357" s="434">
        <v>-100000000</v>
      </c>
    </row>
    <row r="358" spans="1:5" ht="15">
      <c r="A358" s="435" t="s">
        <v>673</v>
      </c>
      <c r="B358" s="435"/>
      <c r="C358" s="435"/>
      <c r="D358" s="436">
        <v>-100000000</v>
      </c>
      <c r="E358" s="436">
        <v>-100000000</v>
      </c>
    </row>
    <row r="359" spans="1:5" ht="15">
      <c r="A359" s="431" t="s">
        <v>71</v>
      </c>
      <c r="B359" s="433">
        <v>43539</v>
      </c>
      <c r="C359" s="432" t="s">
        <v>674</v>
      </c>
      <c r="D359" s="434">
        <v>-249000000</v>
      </c>
      <c r="E359" s="434">
        <v>-300000000</v>
      </c>
    </row>
    <row r="360" spans="1:5" ht="15">
      <c r="A360" s="431"/>
      <c r="B360" s="431"/>
      <c r="C360" s="431" t="s">
        <v>675</v>
      </c>
      <c r="D360" s="434">
        <v>0</v>
      </c>
      <c r="E360" s="434">
        <v>35000000</v>
      </c>
    </row>
    <row r="361" spans="1:5" ht="30">
      <c r="A361" s="431"/>
      <c r="B361" s="432" t="s">
        <v>527</v>
      </c>
      <c r="C361" s="432"/>
      <c r="D361" s="434">
        <v>-249000000</v>
      </c>
      <c r="E361" s="434">
        <v>-265000000</v>
      </c>
    </row>
    <row r="362" spans="1:5" ht="15">
      <c r="A362" s="431"/>
      <c r="B362" s="433">
        <v>43587</v>
      </c>
      <c r="C362" s="432" t="s">
        <v>676</v>
      </c>
      <c r="D362" s="437">
        <v>-450000000</v>
      </c>
      <c r="E362" s="434">
        <v>-450000000</v>
      </c>
    </row>
    <row r="363" spans="1:5" ht="15">
      <c r="A363" s="431"/>
      <c r="B363" s="431"/>
      <c r="C363" s="432" t="s">
        <v>677</v>
      </c>
      <c r="D363" s="437">
        <v>-73740000</v>
      </c>
      <c r="E363" s="434">
        <v>-73740000</v>
      </c>
    </row>
    <row r="364" spans="1:5" ht="15">
      <c r="A364" s="431"/>
      <c r="B364" s="431"/>
      <c r="C364" s="432" t="s">
        <v>678</v>
      </c>
      <c r="D364" s="437">
        <v>-100000000</v>
      </c>
      <c r="E364" s="434">
        <v>-100000000</v>
      </c>
    </row>
    <row r="365" spans="1:5" ht="15">
      <c r="A365" s="431"/>
      <c r="B365" s="431"/>
      <c r="C365" s="432" t="s">
        <v>544</v>
      </c>
      <c r="D365" s="434">
        <v>-3000000</v>
      </c>
      <c r="E365" s="434">
        <v>-639418942</v>
      </c>
    </row>
    <row r="366" spans="1:5" ht="15">
      <c r="A366" s="431"/>
      <c r="B366" s="431"/>
      <c r="C366" s="432" t="s">
        <v>567</v>
      </c>
      <c r="D366" s="434">
        <v>-116400</v>
      </c>
      <c r="E366" s="434">
        <v>-116400</v>
      </c>
    </row>
    <row r="367" spans="1:5" ht="15">
      <c r="A367" s="431"/>
      <c r="B367" s="431"/>
      <c r="C367" s="432" t="s">
        <v>568</v>
      </c>
      <c r="D367" s="434">
        <v>24977952</v>
      </c>
      <c r="E367" s="434">
        <v>24977952</v>
      </c>
    </row>
    <row r="368" spans="1:5" ht="15">
      <c r="A368" s="431"/>
      <c r="B368" s="431"/>
      <c r="C368" s="432" t="s">
        <v>569</v>
      </c>
      <c r="D368" s="434">
        <v>15371055</v>
      </c>
      <c r="E368" s="434">
        <v>15371055</v>
      </c>
    </row>
    <row r="369" spans="1:5" ht="15">
      <c r="A369" s="431"/>
      <c r="B369" s="431"/>
      <c r="C369" s="432" t="s">
        <v>571</v>
      </c>
      <c r="D369" s="434">
        <v>2999823</v>
      </c>
      <c r="E369" s="434">
        <v>2999823</v>
      </c>
    </row>
    <row r="370" spans="1:5" ht="15">
      <c r="A370" s="431"/>
      <c r="B370" s="431"/>
      <c r="C370" s="432" t="s">
        <v>575</v>
      </c>
      <c r="D370" s="434">
        <v>-39343</v>
      </c>
      <c r="E370" s="434">
        <v>-39343</v>
      </c>
    </row>
    <row r="371" spans="1:5" ht="15">
      <c r="A371" s="431"/>
      <c r="B371" s="431"/>
      <c r="C371" s="432" t="s">
        <v>576</v>
      </c>
      <c r="D371" s="434">
        <v>-22225576</v>
      </c>
      <c r="E371" s="434">
        <v>-22225576</v>
      </c>
    </row>
    <row r="372" spans="1:5" ht="15">
      <c r="A372" s="431"/>
      <c r="B372" s="431"/>
      <c r="C372" s="432" t="s">
        <v>578</v>
      </c>
      <c r="D372" s="434">
        <v>-1635436</v>
      </c>
      <c r="E372" s="434">
        <v>-1635436</v>
      </c>
    </row>
    <row r="373" spans="1:5" ht="15">
      <c r="A373" s="431"/>
      <c r="B373" s="431"/>
      <c r="C373" s="432" t="s">
        <v>579</v>
      </c>
      <c r="D373" s="434">
        <v>11112789</v>
      </c>
      <c r="E373" s="434">
        <v>11112789</v>
      </c>
    </row>
    <row r="374" spans="1:5" ht="15">
      <c r="A374" s="431"/>
      <c r="B374" s="431"/>
      <c r="C374" s="432" t="s">
        <v>581</v>
      </c>
      <c r="D374" s="434">
        <v>817719</v>
      </c>
      <c r="E374" s="434">
        <v>817719</v>
      </c>
    </row>
    <row r="375" spans="1:5" ht="15">
      <c r="A375" s="431"/>
      <c r="B375" s="431"/>
      <c r="C375" s="432" t="s">
        <v>582</v>
      </c>
      <c r="D375" s="434">
        <v>5502837</v>
      </c>
      <c r="E375" s="434">
        <v>5502837</v>
      </c>
    </row>
    <row r="376" spans="1:5" ht="15">
      <c r="A376" s="431"/>
      <c r="B376" s="431"/>
      <c r="C376" s="432" t="s">
        <v>584</v>
      </c>
      <c r="D376" s="434">
        <v>1073936</v>
      </c>
      <c r="E376" s="434">
        <v>1073936</v>
      </c>
    </row>
    <row r="377" spans="1:5" ht="15">
      <c r="A377" s="431"/>
      <c r="B377" s="431"/>
      <c r="C377" s="432" t="s">
        <v>679</v>
      </c>
      <c r="D377" s="434">
        <v>1035120</v>
      </c>
      <c r="E377" s="434">
        <v>1035120</v>
      </c>
    </row>
    <row r="378" spans="1:5" ht="15">
      <c r="A378" s="431"/>
      <c r="B378" s="431"/>
      <c r="C378" s="432" t="s">
        <v>680</v>
      </c>
      <c r="D378" s="434">
        <v>689002</v>
      </c>
      <c r="E378" s="434">
        <v>689002</v>
      </c>
    </row>
    <row r="379" spans="1:5" ht="15">
      <c r="A379" s="431"/>
      <c r="B379" s="431"/>
      <c r="C379" s="432" t="s">
        <v>681</v>
      </c>
      <c r="D379" s="434">
        <v>-632468</v>
      </c>
      <c r="E379" s="434">
        <v>-632468</v>
      </c>
    </row>
    <row r="380" spans="1:5" ht="15">
      <c r="A380" s="431"/>
      <c r="B380" s="431"/>
      <c r="C380" s="432" t="s">
        <v>682</v>
      </c>
      <c r="D380" s="434">
        <v>316234</v>
      </c>
      <c r="E380" s="434">
        <v>316234</v>
      </c>
    </row>
    <row r="381" spans="1:5" ht="15">
      <c r="A381" s="431"/>
      <c r="B381" s="431"/>
      <c r="C381" s="432" t="s">
        <v>683</v>
      </c>
      <c r="D381" s="434">
        <v>246663</v>
      </c>
      <c r="E381" s="434">
        <v>246663</v>
      </c>
    </row>
    <row r="382" spans="1:5" ht="15">
      <c r="A382" s="431"/>
      <c r="B382" s="431"/>
      <c r="C382" s="431" t="s">
        <v>586</v>
      </c>
      <c r="D382" s="434">
        <v>-62082612</v>
      </c>
      <c r="E382" s="434">
        <v>-62082612</v>
      </c>
    </row>
    <row r="383" spans="1:5" ht="15">
      <c r="A383" s="431"/>
      <c r="B383" s="431"/>
      <c r="C383" s="431" t="s">
        <v>587</v>
      </c>
      <c r="D383" s="434">
        <v>-4568258</v>
      </c>
      <c r="E383" s="434">
        <v>-4568258</v>
      </c>
    </row>
    <row r="384" spans="1:5" ht="15">
      <c r="A384" s="431"/>
      <c r="B384" s="431"/>
      <c r="C384" s="431" t="s">
        <v>588</v>
      </c>
      <c r="D384" s="434">
        <v>31041309</v>
      </c>
      <c r="E384" s="434">
        <v>31041309</v>
      </c>
    </row>
    <row r="385" spans="1:5" ht="15">
      <c r="A385" s="431"/>
      <c r="B385" s="431"/>
      <c r="C385" s="431" t="s">
        <v>589</v>
      </c>
      <c r="D385" s="434">
        <v>2284129</v>
      </c>
      <c r="E385" s="434">
        <v>2284129</v>
      </c>
    </row>
    <row r="386" spans="1:5" ht="15">
      <c r="A386" s="431"/>
      <c r="B386" s="431"/>
      <c r="C386" s="431" t="s">
        <v>553</v>
      </c>
      <c r="D386" s="434">
        <v>-137257319</v>
      </c>
      <c r="E386" s="434">
        <v>-137257319</v>
      </c>
    </row>
    <row r="387" spans="1:5" ht="15">
      <c r="A387" s="431"/>
      <c r="B387" s="431"/>
      <c r="C387" s="431" t="s">
        <v>684</v>
      </c>
      <c r="D387" s="434">
        <v>-250000000</v>
      </c>
      <c r="E387" s="434">
        <v>-250000000</v>
      </c>
    </row>
    <row r="388" spans="1:5" ht="15">
      <c r="A388" s="431"/>
      <c r="B388" s="431"/>
      <c r="C388" s="431" t="s">
        <v>592</v>
      </c>
      <c r="D388" s="434">
        <v>-313651</v>
      </c>
      <c r="E388" s="434">
        <v>-313651</v>
      </c>
    </row>
    <row r="389" spans="1:5" ht="15">
      <c r="A389" s="431"/>
      <c r="B389" s="431"/>
      <c r="C389" s="431" t="s">
        <v>685</v>
      </c>
      <c r="D389" s="434">
        <v>-1674149</v>
      </c>
      <c r="E389" s="434">
        <v>-1674149</v>
      </c>
    </row>
    <row r="390" spans="1:7" ht="15">
      <c r="A390" s="431"/>
      <c r="B390" s="431"/>
      <c r="C390" s="431" t="s">
        <v>686</v>
      </c>
      <c r="D390" s="434">
        <v>-1766671</v>
      </c>
      <c r="E390" s="434">
        <v>-1766671</v>
      </c>
      <c r="G390" s="543"/>
    </row>
    <row r="391" spans="1:5" ht="15">
      <c r="A391" s="431"/>
      <c r="B391" s="431"/>
      <c r="C391" s="431" t="s">
        <v>687</v>
      </c>
      <c r="D391" s="434">
        <v>883336</v>
      </c>
      <c r="E391" s="434">
        <v>883336</v>
      </c>
    </row>
    <row r="392" spans="1:5" ht="15">
      <c r="A392" s="431"/>
      <c r="B392" s="431"/>
      <c r="C392" s="431" t="s">
        <v>688</v>
      </c>
      <c r="D392" s="434">
        <v>8942106</v>
      </c>
      <c r="E392" s="434">
        <v>8942106</v>
      </c>
    </row>
    <row r="393" spans="1:5" ht="15">
      <c r="A393" s="431"/>
      <c r="B393" s="431"/>
      <c r="C393" s="431" t="s">
        <v>689</v>
      </c>
      <c r="D393" s="434">
        <v>370573</v>
      </c>
      <c r="E393" s="434">
        <v>370573</v>
      </c>
    </row>
    <row r="394" spans="1:5" ht="15">
      <c r="A394" s="431"/>
      <c r="B394" s="432" t="s">
        <v>464</v>
      </c>
      <c r="C394" s="432"/>
      <c r="D394" s="434">
        <v>-1001387300</v>
      </c>
      <c r="E394" s="434">
        <v>-1637806242</v>
      </c>
    </row>
    <row r="395" spans="1:5" ht="15">
      <c r="A395" s="431"/>
      <c r="B395" s="433">
        <v>43589</v>
      </c>
      <c r="C395" s="432" t="s">
        <v>560</v>
      </c>
      <c r="D395" s="434">
        <v>12014718572</v>
      </c>
      <c r="E395" s="434">
        <v>0</v>
      </c>
    </row>
    <row r="396" spans="1:5" ht="15">
      <c r="A396" s="431"/>
      <c r="B396" s="432" t="s">
        <v>435</v>
      </c>
      <c r="C396" s="432"/>
      <c r="D396" s="434">
        <v>12014718572</v>
      </c>
      <c r="E396" s="434">
        <v>0</v>
      </c>
    </row>
    <row r="397" spans="1:5" ht="30">
      <c r="A397" s="435" t="s">
        <v>460</v>
      </c>
      <c r="B397" s="435"/>
      <c r="C397" s="435"/>
      <c r="D397" s="436">
        <v>10764331272</v>
      </c>
      <c r="E397" s="436">
        <v>-1902806242</v>
      </c>
    </row>
    <row r="398" spans="1:5" ht="15">
      <c r="A398" s="431" t="s">
        <v>461</v>
      </c>
      <c r="B398" s="433">
        <v>43539</v>
      </c>
      <c r="C398" s="432" t="s">
        <v>690</v>
      </c>
      <c r="D398" s="434">
        <v>-1136001000</v>
      </c>
      <c r="E398" s="434">
        <v>-3780265000</v>
      </c>
    </row>
    <row r="399" spans="1:5" ht="15">
      <c r="A399" s="431"/>
      <c r="B399" s="431"/>
      <c r="C399" s="432" t="s">
        <v>691</v>
      </c>
      <c r="D399" s="434">
        <v>1136001000</v>
      </c>
      <c r="E399" s="434">
        <v>3780265000</v>
      </c>
    </row>
    <row r="400" spans="1:5" ht="15">
      <c r="A400" s="431"/>
      <c r="B400" s="431"/>
      <c r="C400" s="432" t="s">
        <v>692</v>
      </c>
      <c r="D400" s="434">
        <v>-200000000</v>
      </c>
      <c r="E400" s="434">
        <v>-200000000</v>
      </c>
    </row>
    <row r="401" spans="1:5" ht="15">
      <c r="A401" s="431"/>
      <c r="B401" s="431"/>
      <c r="C401" s="432" t="s">
        <v>693</v>
      </c>
      <c r="D401" s="434">
        <v>-200000000</v>
      </c>
      <c r="E401" s="434">
        <v>-300000000</v>
      </c>
    </row>
    <row r="402" spans="1:6" ht="15">
      <c r="A402" s="431"/>
      <c r="B402" s="431"/>
      <c r="C402" s="431" t="s">
        <v>694</v>
      </c>
      <c r="D402" s="434">
        <v>1900000000</v>
      </c>
      <c r="E402" s="434">
        <v>0</v>
      </c>
      <c r="F402" s="543"/>
    </row>
    <row r="403" spans="1:5" ht="30">
      <c r="A403" s="431"/>
      <c r="B403" s="432" t="s">
        <v>527</v>
      </c>
      <c r="C403" s="432"/>
      <c r="D403" s="434">
        <v>1500000000</v>
      </c>
      <c r="E403" s="434">
        <v>-500000000</v>
      </c>
    </row>
    <row r="404" spans="1:5" ht="15">
      <c r="A404" s="431"/>
      <c r="B404" s="433">
        <v>43587</v>
      </c>
      <c r="C404" s="432" t="s">
        <v>695</v>
      </c>
      <c r="D404" s="437">
        <v>-275000000</v>
      </c>
      <c r="E404" s="434">
        <v>-275000000</v>
      </c>
    </row>
    <row r="405" spans="1:5" ht="15">
      <c r="A405" s="431"/>
      <c r="B405" s="431"/>
      <c r="C405" s="432" t="s">
        <v>544</v>
      </c>
      <c r="D405" s="434">
        <v>5000000</v>
      </c>
      <c r="E405" s="434">
        <v>5000000</v>
      </c>
    </row>
    <row r="406" spans="1:5" ht="15">
      <c r="A406" s="431"/>
      <c r="B406" s="431"/>
      <c r="C406" s="432" t="s">
        <v>567</v>
      </c>
      <c r="D406" s="434">
        <v>-116400</v>
      </c>
      <c r="E406" s="434">
        <v>-116400</v>
      </c>
    </row>
    <row r="407" spans="1:5" ht="15">
      <c r="A407" s="431"/>
      <c r="B407" s="431"/>
      <c r="C407" s="432" t="s">
        <v>568</v>
      </c>
      <c r="D407" s="434">
        <v>14826156</v>
      </c>
      <c r="E407" s="434">
        <v>14826156</v>
      </c>
    </row>
    <row r="408" spans="1:5" ht="15">
      <c r="A408" s="431"/>
      <c r="B408" s="431"/>
      <c r="C408" s="432" t="s">
        <v>569</v>
      </c>
      <c r="D408" s="434">
        <v>9447465</v>
      </c>
      <c r="E408" s="434">
        <v>9447465</v>
      </c>
    </row>
    <row r="409" spans="1:5" ht="15">
      <c r="A409" s="431"/>
      <c r="B409" s="431"/>
      <c r="C409" s="432" t="s">
        <v>571</v>
      </c>
      <c r="D409" s="434">
        <v>605373</v>
      </c>
      <c r="E409" s="434">
        <v>605373</v>
      </c>
    </row>
    <row r="410" spans="1:5" ht="15">
      <c r="A410" s="431"/>
      <c r="B410" s="431"/>
      <c r="C410" s="432" t="s">
        <v>575</v>
      </c>
      <c r="D410" s="434">
        <v>-39343</v>
      </c>
      <c r="E410" s="434">
        <v>-39343</v>
      </c>
    </row>
    <row r="411" spans="1:5" ht="15">
      <c r="A411" s="431"/>
      <c r="B411" s="431"/>
      <c r="C411" s="432" t="s">
        <v>576</v>
      </c>
      <c r="D411" s="434">
        <v>-13299358</v>
      </c>
      <c r="E411" s="434">
        <v>-13299358</v>
      </c>
    </row>
    <row r="412" spans="1:5" ht="15">
      <c r="A412" s="431"/>
      <c r="B412" s="431"/>
      <c r="C412" s="432" t="s">
        <v>578</v>
      </c>
      <c r="D412" s="434">
        <v>-330036</v>
      </c>
      <c r="E412" s="434">
        <v>-330036</v>
      </c>
    </row>
    <row r="413" spans="1:5" ht="15">
      <c r="A413" s="431"/>
      <c r="B413" s="431"/>
      <c r="C413" s="432" t="s">
        <v>579</v>
      </c>
      <c r="D413" s="434">
        <v>6649679</v>
      </c>
      <c r="E413" s="434">
        <v>6649679</v>
      </c>
    </row>
    <row r="414" spans="1:5" ht="15">
      <c r="A414" s="431"/>
      <c r="B414" s="431"/>
      <c r="C414" s="432" t="s">
        <v>581</v>
      </c>
      <c r="D414" s="434">
        <v>165018</v>
      </c>
      <c r="E414" s="434">
        <v>165018</v>
      </c>
    </row>
    <row r="415" spans="1:5" ht="15">
      <c r="A415" s="431"/>
      <c r="B415" s="431"/>
      <c r="C415" s="432" t="s">
        <v>582</v>
      </c>
      <c r="D415" s="434">
        <v>3382192</v>
      </c>
      <c r="E415" s="434">
        <v>3382192</v>
      </c>
    </row>
    <row r="416" spans="1:5" ht="15">
      <c r="A416" s="431"/>
      <c r="B416" s="431"/>
      <c r="C416" s="432" t="s">
        <v>584</v>
      </c>
      <c r="D416" s="434">
        <v>216723</v>
      </c>
      <c r="E416" s="434">
        <v>216723</v>
      </c>
    </row>
    <row r="417" spans="1:5" ht="15">
      <c r="A417" s="431"/>
      <c r="B417" s="431"/>
      <c r="C417" s="432" t="s">
        <v>696</v>
      </c>
      <c r="D417" s="434">
        <v>638040</v>
      </c>
      <c r="E417" s="434">
        <v>638040</v>
      </c>
    </row>
    <row r="418" spans="1:5" ht="15">
      <c r="A418" s="431"/>
      <c r="B418" s="431"/>
      <c r="C418" s="432" t="s">
        <v>641</v>
      </c>
      <c r="D418" s="434">
        <v>1</v>
      </c>
      <c r="E418" s="434">
        <v>1</v>
      </c>
    </row>
    <row r="419" spans="1:5" ht="15">
      <c r="A419" s="431"/>
      <c r="B419" s="431"/>
      <c r="C419" s="431" t="s">
        <v>586</v>
      </c>
      <c r="D419" s="434">
        <v>-37149043</v>
      </c>
      <c r="E419" s="434">
        <v>-37149043</v>
      </c>
    </row>
    <row r="420" spans="1:5" ht="15">
      <c r="A420" s="431"/>
      <c r="B420" s="431"/>
      <c r="C420" s="431" t="s">
        <v>587</v>
      </c>
      <c r="D420" s="434">
        <v>-921888</v>
      </c>
      <c r="E420" s="434">
        <v>-921888</v>
      </c>
    </row>
    <row r="421" spans="1:5" ht="15">
      <c r="A421" s="431"/>
      <c r="B421" s="431"/>
      <c r="C421" s="431" t="s">
        <v>588</v>
      </c>
      <c r="D421" s="434">
        <v>18574524</v>
      </c>
      <c r="E421" s="434">
        <v>18574524</v>
      </c>
    </row>
    <row r="422" spans="1:5" ht="15">
      <c r="A422" s="431"/>
      <c r="B422" s="431"/>
      <c r="C422" s="431" t="s">
        <v>589</v>
      </c>
      <c r="D422" s="434">
        <v>460944</v>
      </c>
      <c r="E422" s="434">
        <v>460944</v>
      </c>
    </row>
    <row r="423" spans="1:5" ht="15">
      <c r="A423" s="431"/>
      <c r="B423" s="431"/>
      <c r="C423" s="431" t="s">
        <v>553</v>
      </c>
      <c r="D423" s="434">
        <v>-86502949</v>
      </c>
      <c r="E423" s="434">
        <v>-86502949</v>
      </c>
    </row>
    <row r="424" spans="1:5" ht="15">
      <c r="A424" s="431"/>
      <c r="B424" s="431"/>
      <c r="C424" s="431" t="s">
        <v>697</v>
      </c>
      <c r="D424" s="434">
        <v>-2000000000</v>
      </c>
      <c r="E424" s="434">
        <v>-2000000000</v>
      </c>
    </row>
    <row r="425" spans="1:5" ht="15">
      <c r="A425" s="431"/>
      <c r="B425" s="431"/>
      <c r="C425" s="431" t="s">
        <v>591</v>
      </c>
      <c r="D425" s="434">
        <v>-966760</v>
      </c>
      <c r="E425" s="434">
        <v>-966760</v>
      </c>
    </row>
    <row r="426" spans="1:5" ht="15">
      <c r="A426" s="431"/>
      <c r="B426" s="431"/>
      <c r="C426" s="431" t="s">
        <v>592</v>
      </c>
      <c r="D426" s="434">
        <v>-63048</v>
      </c>
      <c r="E426" s="434">
        <v>-63048</v>
      </c>
    </row>
    <row r="427" spans="1:5" ht="15">
      <c r="A427" s="431"/>
      <c r="B427" s="431"/>
      <c r="C427" s="431" t="s">
        <v>698</v>
      </c>
      <c r="D427" s="434">
        <v>228419</v>
      </c>
      <c r="E427" s="434">
        <v>228419</v>
      </c>
    </row>
    <row r="428" spans="1:5" ht="15">
      <c r="A428" s="431"/>
      <c r="B428" s="431"/>
      <c r="C428" s="431" t="s">
        <v>599</v>
      </c>
      <c r="D428" s="434">
        <v>5307764</v>
      </c>
      <c r="E428" s="434">
        <v>5307764</v>
      </c>
    </row>
    <row r="429" spans="1:5" ht="15">
      <c r="A429" s="431"/>
      <c r="B429" s="432" t="s">
        <v>464</v>
      </c>
      <c r="C429" s="432"/>
      <c r="D429" s="434">
        <v>-2348886527</v>
      </c>
      <c r="E429" s="434">
        <v>-2348886527</v>
      </c>
    </row>
    <row r="430" spans="1:5" ht="15">
      <c r="A430" s="431"/>
      <c r="B430" s="433">
        <v>43589</v>
      </c>
      <c r="C430" s="432" t="s">
        <v>560</v>
      </c>
      <c r="D430" s="434">
        <v>12000510807</v>
      </c>
      <c r="E430" s="434">
        <v>0</v>
      </c>
    </row>
    <row r="431" spans="1:5" ht="15">
      <c r="A431" s="431"/>
      <c r="B431" s="432" t="s">
        <v>435</v>
      </c>
      <c r="C431" s="432"/>
      <c r="D431" s="434">
        <v>12000510807</v>
      </c>
      <c r="E431" s="434">
        <v>0</v>
      </c>
    </row>
    <row r="432" spans="1:5" ht="15">
      <c r="A432" s="435" t="s">
        <v>465</v>
      </c>
      <c r="B432" s="435"/>
      <c r="C432" s="435"/>
      <c r="D432" s="436">
        <v>11151624280</v>
      </c>
      <c r="E432" s="436">
        <v>-2848886527</v>
      </c>
    </row>
    <row r="433" spans="1:5" ht="15">
      <c r="A433" s="431" t="s">
        <v>466</v>
      </c>
      <c r="B433" s="433">
        <v>43587</v>
      </c>
      <c r="C433" s="432" t="s">
        <v>545</v>
      </c>
      <c r="D433" s="434">
        <v>-462000</v>
      </c>
      <c r="E433" s="434">
        <v>-462000</v>
      </c>
    </row>
    <row r="434" spans="1:5" ht="15">
      <c r="A434" s="431"/>
      <c r="B434" s="431"/>
      <c r="C434" s="432" t="s">
        <v>546</v>
      </c>
      <c r="D434" s="434">
        <v>10802700</v>
      </c>
      <c r="E434" s="434">
        <v>10802700</v>
      </c>
    </row>
    <row r="435" spans="1:5" ht="15">
      <c r="A435" s="431"/>
      <c r="B435" s="431"/>
      <c r="C435" s="432" t="s">
        <v>616</v>
      </c>
      <c r="D435" s="434">
        <v>5759920</v>
      </c>
      <c r="E435" s="434">
        <v>5759920</v>
      </c>
    </row>
    <row r="436" spans="1:5" ht="15">
      <c r="A436" s="431"/>
      <c r="B436" s="431"/>
      <c r="C436" s="432" t="s">
        <v>548</v>
      </c>
      <c r="D436" s="434">
        <v>-156156</v>
      </c>
      <c r="E436" s="434">
        <v>-156156</v>
      </c>
    </row>
    <row r="437" spans="1:5" ht="15">
      <c r="A437" s="431"/>
      <c r="B437" s="431"/>
      <c r="C437" s="432" t="s">
        <v>549</v>
      </c>
      <c r="D437" s="434">
        <v>-5287312</v>
      </c>
      <c r="E437" s="434">
        <v>-5287312</v>
      </c>
    </row>
    <row r="438" spans="1:5" ht="15">
      <c r="A438" s="431"/>
      <c r="B438" s="431"/>
      <c r="C438" s="432" t="s">
        <v>550</v>
      </c>
      <c r="D438" s="434">
        <v>2643655</v>
      </c>
      <c r="E438" s="434">
        <v>2643655</v>
      </c>
    </row>
    <row r="439" spans="1:5" ht="15">
      <c r="A439" s="431"/>
      <c r="B439" s="431"/>
      <c r="C439" s="432" t="s">
        <v>551</v>
      </c>
      <c r="D439" s="434">
        <v>2062051</v>
      </c>
      <c r="E439" s="434">
        <v>2062051</v>
      </c>
    </row>
    <row r="440" spans="1:5" ht="15">
      <c r="A440" s="431"/>
      <c r="B440" s="431"/>
      <c r="C440" s="431" t="s">
        <v>553</v>
      </c>
      <c r="D440" s="434">
        <v>-12565177</v>
      </c>
      <c r="E440" s="434">
        <v>-12565177</v>
      </c>
    </row>
    <row r="441" spans="1:5" ht="15">
      <c r="A441" s="431"/>
      <c r="B441" s="431"/>
      <c r="C441" s="431" t="s">
        <v>555</v>
      </c>
      <c r="D441" s="434">
        <v>-594770</v>
      </c>
      <c r="E441" s="434">
        <v>-594770</v>
      </c>
    </row>
    <row r="442" spans="1:5" ht="15">
      <c r="A442" s="431"/>
      <c r="B442" s="431"/>
      <c r="C442" s="431" t="s">
        <v>557</v>
      </c>
      <c r="D442" s="434">
        <v>7384513</v>
      </c>
      <c r="E442" s="434">
        <v>7384513</v>
      </c>
    </row>
    <row r="443" spans="1:5" ht="15">
      <c r="A443" s="431"/>
      <c r="B443" s="431"/>
      <c r="C443" s="431" t="s">
        <v>618</v>
      </c>
      <c r="D443" s="434">
        <v>-14769026</v>
      </c>
      <c r="E443" s="434">
        <v>-14769026</v>
      </c>
    </row>
    <row r="444" spans="1:5" ht="15">
      <c r="A444" s="431"/>
      <c r="B444" s="431"/>
      <c r="C444" s="431" t="s">
        <v>699</v>
      </c>
      <c r="D444" s="434">
        <v>3867367</v>
      </c>
      <c r="E444" s="434">
        <v>3867367</v>
      </c>
    </row>
    <row r="445" spans="1:5" ht="15">
      <c r="A445" s="431"/>
      <c r="B445" s="432" t="s">
        <v>464</v>
      </c>
      <c r="C445" s="432"/>
      <c r="D445" s="434">
        <v>-1314235</v>
      </c>
      <c r="E445" s="434">
        <v>-1314235</v>
      </c>
    </row>
    <row r="446" spans="1:5" ht="30">
      <c r="A446" s="435" t="s">
        <v>468</v>
      </c>
      <c r="B446" s="435"/>
      <c r="C446" s="435"/>
      <c r="D446" s="436">
        <v>-1314235</v>
      </c>
      <c r="E446" s="436">
        <v>-1314235</v>
      </c>
    </row>
    <row r="447" spans="1:5" ht="15">
      <c r="A447" s="431" t="s">
        <v>469</v>
      </c>
      <c r="B447" s="433">
        <v>43587</v>
      </c>
      <c r="C447" s="432" t="s">
        <v>566</v>
      </c>
      <c r="D447" s="434">
        <v>-30000000</v>
      </c>
      <c r="E447" s="434">
        <v>-30000000</v>
      </c>
    </row>
    <row r="448" spans="1:5" ht="15">
      <c r="A448" s="431"/>
      <c r="B448" s="431"/>
      <c r="C448" s="432" t="s">
        <v>544</v>
      </c>
      <c r="D448" s="434">
        <v>0</v>
      </c>
      <c r="E448" s="434"/>
    </row>
    <row r="449" spans="1:5" ht="15">
      <c r="A449" s="431"/>
      <c r="B449" s="431"/>
      <c r="C449" s="432" t="s">
        <v>567</v>
      </c>
      <c r="D449" s="434">
        <v>-116400</v>
      </c>
      <c r="E449" s="434">
        <v>-116400</v>
      </c>
    </row>
    <row r="450" spans="1:5" ht="15">
      <c r="A450" s="431"/>
      <c r="B450" s="431"/>
      <c r="C450" s="432" t="s">
        <v>568</v>
      </c>
      <c r="D450" s="434">
        <v>17662716</v>
      </c>
      <c r="E450" s="434">
        <v>17662716</v>
      </c>
    </row>
    <row r="451" spans="1:5" ht="15">
      <c r="A451" s="431"/>
      <c r="B451" s="431"/>
      <c r="C451" s="432" t="s">
        <v>569</v>
      </c>
      <c r="D451" s="434">
        <v>50487549</v>
      </c>
      <c r="E451" s="434">
        <v>50487549</v>
      </c>
    </row>
    <row r="452" spans="1:5" ht="15">
      <c r="A452" s="431"/>
      <c r="B452" s="431"/>
      <c r="C452" s="432" t="s">
        <v>571</v>
      </c>
      <c r="D452" s="434">
        <v>4409423</v>
      </c>
      <c r="E452" s="434">
        <v>4409423</v>
      </c>
    </row>
    <row r="453" spans="1:5" ht="15">
      <c r="A453" s="431"/>
      <c r="B453" s="431"/>
      <c r="C453" s="432" t="s">
        <v>575</v>
      </c>
      <c r="D453" s="434">
        <v>-39343</v>
      </c>
      <c r="E453" s="434">
        <v>-39343</v>
      </c>
    </row>
    <row r="454" spans="1:5" ht="15">
      <c r="A454" s="431"/>
      <c r="B454" s="431"/>
      <c r="C454" s="432" t="s">
        <v>576</v>
      </c>
      <c r="D454" s="434">
        <v>-47225231</v>
      </c>
      <c r="E454" s="434">
        <v>-47225231</v>
      </c>
    </row>
    <row r="455" spans="1:5" ht="15">
      <c r="A455" s="431"/>
      <c r="B455" s="431"/>
      <c r="C455" s="432" t="s">
        <v>578</v>
      </c>
      <c r="D455" s="434">
        <v>-2403919</v>
      </c>
      <c r="E455" s="434">
        <v>-2403919</v>
      </c>
    </row>
    <row r="456" spans="1:5" ht="15">
      <c r="A456" s="431"/>
      <c r="B456" s="431"/>
      <c r="C456" s="432" t="s">
        <v>579</v>
      </c>
      <c r="D456" s="434">
        <v>23612618</v>
      </c>
      <c r="E456" s="434">
        <v>23612618</v>
      </c>
    </row>
    <row r="457" spans="1:5" ht="15">
      <c r="A457" s="431"/>
      <c r="B457" s="431"/>
      <c r="C457" s="432" t="s">
        <v>581</v>
      </c>
      <c r="D457" s="434">
        <v>1201960</v>
      </c>
      <c r="E457" s="434">
        <v>1201960</v>
      </c>
    </row>
    <row r="458" spans="1:5" ht="15">
      <c r="A458" s="431"/>
      <c r="B458" s="431"/>
      <c r="C458" s="432" t="s">
        <v>582</v>
      </c>
      <c r="D458" s="434">
        <v>18074543</v>
      </c>
      <c r="E458" s="434">
        <v>18074543</v>
      </c>
    </row>
    <row r="459" spans="1:5" ht="15">
      <c r="A459" s="431"/>
      <c r="B459" s="431"/>
      <c r="C459" s="432" t="s">
        <v>584</v>
      </c>
      <c r="D459" s="434">
        <v>1578573</v>
      </c>
      <c r="E459" s="434">
        <v>1578573</v>
      </c>
    </row>
    <row r="460" spans="1:5" ht="15">
      <c r="A460" s="431"/>
      <c r="B460" s="431"/>
      <c r="C460" s="432" t="s">
        <v>696</v>
      </c>
      <c r="D460" s="434">
        <v>1153584</v>
      </c>
      <c r="E460" s="434">
        <v>1153584</v>
      </c>
    </row>
    <row r="461" spans="1:5" ht="30">
      <c r="A461" s="431"/>
      <c r="B461" s="431"/>
      <c r="C461" s="432" t="s">
        <v>700</v>
      </c>
      <c r="D461" s="434">
        <v>-632944</v>
      </c>
      <c r="E461" s="434">
        <v>-632944</v>
      </c>
    </row>
    <row r="462" spans="1:5" ht="15">
      <c r="A462" s="431"/>
      <c r="B462" s="431"/>
      <c r="C462" s="432" t="s">
        <v>641</v>
      </c>
      <c r="D462" s="434">
        <v>-30000</v>
      </c>
      <c r="E462" s="434">
        <v>-30000</v>
      </c>
    </row>
    <row r="463" spans="1:5" ht="15">
      <c r="A463" s="431"/>
      <c r="B463" s="431"/>
      <c r="C463" s="431" t="s">
        <v>586</v>
      </c>
      <c r="D463" s="434">
        <v>-131914054</v>
      </c>
      <c r="E463" s="434">
        <v>-131914054</v>
      </c>
    </row>
    <row r="464" spans="1:5" ht="15">
      <c r="A464" s="431"/>
      <c r="B464" s="431"/>
      <c r="C464" s="431" t="s">
        <v>587</v>
      </c>
      <c r="D464" s="434">
        <v>-6714857</v>
      </c>
      <c r="E464" s="434">
        <v>-6714857</v>
      </c>
    </row>
    <row r="465" spans="1:5" ht="15">
      <c r="A465" s="431"/>
      <c r="B465" s="431"/>
      <c r="C465" s="431" t="s">
        <v>588</v>
      </c>
      <c r="D465" s="434">
        <v>65957032</v>
      </c>
      <c r="E465" s="434">
        <v>65957032</v>
      </c>
    </row>
    <row r="466" spans="1:5" ht="15">
      <c r="A466" s="431"/>
      <c r="B466" s="431"/>
      <c r="C466" s="431" t="s">
        <v>589</v>
      </c>
      <c r="D466" s="434">
        <v>3357429</v>
      </c>
      <c r="E466" s="434">
        <v>3357429</v>
      </c>
    </row>
    <row r="467" spans="1:5" ht="15">
      <c r="A467" s="431"/>
      <c r="B467" s="431"/>
      <c r="C467" s="431" t="s">
        <v>553</v>
      </c>
      <c r="D467" s="434">
        <v>-315546754</v>
      </c>
      <c r="E467" s="434">
        <v>-315546754</v>
      </c>
    </row>
    <row r="468" spans="1:5" ht="15">
      <c r="A468" s="431"/>
      <c r="B468" s="431"/>
      <c r="C468" s="431" t="s">
        <v>701</v>
      </c>
      <c r="D468" s="434">
        <v>-500000000</v>
      </c>
      <c r="E468" s="434">
        <v>-500000000</v>
      </c>
    </row>
    <row r="469" spans="1:5" ht="15">
      <c r="A469" s="431"/>
      <c r="B469" s="431"/>
      <c r="C469" s="431" t="s">
        <v>591</v>
      </c>
      <c r="D469" s="434">
        <v>-5214781</v>
      </c>
      <c r="E469" s="434">
        <v>-5214781</v>
      </c>
    </row>
    <row r="470" spans="1:5" ht="15">
      <c r="A470" s="431"/>
      <c r="B470" s="431"/>
      <c r="C470" s="431" t="s">
        <v>592</v>
      </c>
      <c r="D470" s="434">
        <v>-461462</v>
      </c>
      <c r="E470" s="434">
        <v>-461462</v>
      </c>
    </row>
    <row r="471" spans="1:5" ht="15">
      <c r="A471" s="431"/>
      <c r="B471" s="431"/>
      <c r="C471" s="431" t="s">
        <v>702</v>
      </c>
      <c r="D471" s="434">
        <v>-1768000</v>
      </c>
      <c r="E471" s="434">
        <v>-1768000</v>
      </c>
    </row>
    <row r="472" spans="1:5" ht="15">
      <c r="A472" s="431"/>
      <c r="B472" s="431"/>
      <c r="C472" s="431" t="s">
        <v>688</v>
      </c>
      <c r="D472" s="434">
        <v>6323252</v>
      </c>
      <c r="E472" s="434">
        <v>6323252</v>
      </c>
    </row>
    <row r="473" spans="1:5" ht="15">
      <c r="A473" s="431"/>
      <c r="B473" s="431"/>
      <c r="C473" s="431" t="s">
        <v>703</v>
      </c>
      <c r="D473" s="434">
        <v>412983</v>
      </c>
      <c r="E473" s="434">
        <v>412983</v>
      </c>
    </row>
    <row r="474" spans="1:5" ht="15">
      <c r="A474" s="431"/>
      <c r="B474" s="432" t="s">
        <v>464</v>
      </c>
      <c r="C474" s="432"/>
      <c r="D474" s="434">
        <v>-847836083</v>
      </c>
      <c r="E474" s="434">
        <v>-847836083</v>
      </c>
    </row>
    <row r="475" spans="1:5" ht="15">
      <c r="A475" s="431"/>
      <c r="B475" s="433">
        <v>43589</v>
      </c>
      <c r="C475" s="432" t="s">
        <v>560</v>
      </c>
      <c r="D475" s="434">
        <v>30528877061</v>
      </c>
      <c r="E475" s="434">
        <v>0</v>
      </c>
    </row>
    <row r="476" spans="1:5" ht="15">
      <c r="A476" s="431"/>
      <c r="B476" s="431"/>
      <c r="C476" s="432" t="s">
        <v>704</v>
      </c>
      <c r="D476" s="434">
        <v>1400000000</v>
      </c>
      <c r="E476" s="434">
        <v>0</v>
      </c>
    </row>
    <row r="477" spans="1:5" ht="15">
      <c r="A477" s="431"/>
      <c r="B477" s="432" t="s">
        <v>435</v>
      </c>
      <c r="C477" s="432"/>
      <c r="D477" s="434">
        <v>31928877061</v>
      </c>
      <c r="E477" s="434">
        <v>0</v>
      </c>
    </row>
    <row r="478" spans="1:5" ht="15">
      <c r="A478" s="431"/>
      <c r="B478" s="433">
        <v>43608</v>
      </c>
      <c r="C478" s="431" t="s">
        <v>705</v>
      </c>
      <c r="D478" s="434"/>
      <c r="E478" s="434">
        <v>-1000000000</v>
      </c>
    </row>
    <row r="479" spans="1:5" ht="30">
      <c r="A479" s="431"/>
      <c r="B479" s="432" t="s">
        <v>614</v>
      </c>
      <c r="C479" s="432"/>
      <c r="D479" s="434"/>
      <c r="E479" s="434">
        <v>-1000000000</v>
      </c>
    </row>
    <row r="480" spans="1:5" ht="30">
      <c r="A480" s="435" t="s">
        <v>472</v>
      </c>
      <c r="B480" s="435"/>
      <c r="C480" s="435"/>
      <c r="D480" s="436">
        <v>31081040978</v>
      </c>
      <c r="E480" s="436">
        <v>-1847836083</v>
      </c>
    </row>
    <row r="481" spans="1:5" ht="15">
      <c r="A481" s="431" t="s">
        <v>473</v>
      </c>
      <c r="B481" s="433">
        <v>43539</v>
      </c>
      <c r="C481" s="432" t="s">
        <v>706</v>
      </c>
      <c r="D481" s="434">
        <v>21680543</v>
      </c>
      <c r="E481" s="434">
        <v>21680543</v>
      </c>
    </row>
    <row r="482" spans="1:5" ht="15">
      <c r="A482" s="431"/>
      <c r="B482" s="431"/>
      <c r="C482" s="432" t="s">
        <v>707</v>
      </c>
      <c r="D482" s="434">
        <v>4151362</v>
      </c>
      <c r="E482" s="434">
        <v>4151362</v>
      </c>
    </row>
    <row r="483" spans="1:5" ht="30">
      <c r="A483" s="431"/>
      <c r="B483" s="432" t="s">
        <v>527</v>
      </c>
      <c r="C483" s="432"/>
      <c r="D483" s="434">
        <v>25831905</v>
      </c>
      <c r="E483" s="434">
        <v>25831905</v>
      </c>
    </row>
    <row r="484" spans="1:6" ht="15">
      <c r="A484" s="431"/>
      <c r="B484" s="433">
        <v>43587</v>
      </c>
      <c r="C484" s="432" t="s">
        <v>564</v>
      </c>
      <c r="D484" s="434">
        <v>-13500000</v>
      </c>
      <c r="E484" s="434">
        <v>-20000000</v>
      </c>
      <c r="F484" s="543"/>
    </row>
    <row r="485" spans="1:5" ht="15">
      <c r="A485" s="431"/>
      <c r="B485" s="431"/>
      <c r="C485" s="432" t="s">
        <v>544</v>
      </c>
      <c r="D485" s="434">
        <v>-115000000</v>
      </c>
      <c r="E485" s="434">
        <v>-122196530</v>
      </c>
    </row>
    <row r="486" spans="1:5" ht="15">
      <c r="A486" s="431"/>
      <c r="B486" s="431"/>
      <c r="C486" s="432" t="s">
        <v>575</v>
      </c>
      <c r="D486" s="434">
        <v>-39343</v>
      </c>
      <c r="E486" s="434">
        <v>-39343</v>
      </c>
    </row>
    <row r="487" spans="1:5" ht="15">
      <c r="A487" s="431"/>
      <c r="B487" s="431"/>
      <c r="C487" s="432" t="s">
        <v>576</v>
      </c>
      <c r="D487" s="434">
        <v>-17693243</v>
      </c>
      <c r="E487" s="434">
        <v>-17693243</v>
      </c>
    </row>
    <row r="488" spans="1:5" ht="15">
      <c r="A488" s="431"/>
      <c r="B488" s="431"/>
      <c r="C488" s="432" t="s">
        <v>578</v>
      </c>
      <c r="D488" s="434">
        <v>-3077366</v>
      </c>
      <c r="E488" s="434">
        <v>-3077366</v>
      </c>
    </row>
    <row r="489" spans="1:5" ht="15">
      <c r="A489" s="431"/>
      <c r="B489" s="431"/>
      <c r="C489" s="432" t="s">
        <v>579</v>
      </c>
      <c r="D489" s="434">
        <v>8846622</v>
      </c>
      <c r="E489" s="434">
        <v>8846622</v>
      </c>
    </row>
    <row r="490" spans="1:5" ht="15">
      <c r="A490" s="431"/>
      <c r="B490" s="431"/>
      <c r="C490" s="432" t="s">
        <v>581</v>
      </c>
      <c r="D490" s="434">
        <v>1538683</v>
      </c>
      <c r="E490" s="434">
        <v>1538683</v>
      </c>
    </row>
    <row r="491" spans="1:5" ht="15">
      <c r="A491" s="431"/>
      <c r="B491" s="431"/>
      <c r="C491" s="432" t="s">
        <v>582</v>
      </c>
      <c r="D491" s="434">
        <v>4524543</v>
      </c>
      <c r="E491" s="434">
        <v>4524543</v>
      </c>
    </row>
    <row r="492" spans="1:5" ht="30">
      <c r="A492" s="431"/>
      <c r="B492" s="431"/>
      <c r="C492" s="432" t="s">
        <v>708</v>
      </c>
      <c r="D492" s="434">
        <v>-108932943</v>
      </c>
      <c r="E492" s="434">
        <v>-108932943</v>
      </c>
    </row>
    <row r="493" spans="1:5" ht="15">
      <c r="A493" s="431"/>
      <c r="B493" s="431"/>
      <c r="C493" s="432" t="s">
        <v>709</v>
      </c>
      <c r="D493" s="434">
        <v>-105449190</v>
      </c>
      <c r="E493" s="434">
        <v>-421796760</v>
      </c>
    </row>
    <row r="494" spans="1:5" ht="15">
      <c r="A494" s="431"/>
      <c r="B494" s="431"/>
      <c r="C494" s="432" t="s">
        <v>710</v>
      </c>
      <c r="D494" s="434">
        <v>-116400</v>
      </c>
      <c r="E494" s="434">
        <v>-116400</v>
      </c>
    </row>
    <row r="495" spans="1:5" ht="15">
      <c r="A495" s="431"/>
      <c r="B495" s="431"/>
      <c r="C495" s="432" t="s">
        <v>711</v>
      </c>
      <c r="D495" s="434">
        <v>-3121726</v>
      </c>
      <c r="E495" s="434">
        <v>-3121726</v>
      </c>
    </row>
    <row r="496" spans="1:5" ht="15">
      <c r="A496" s="431"/>
      <c r="B496" s="431"/>
      <c r="C496" s="432" t="s">
        <v>712</v>
      </c>
      <c r="D496" s="434">
        <v>-304281965</v>
      </c>
      <c r="E496" s="434">
        <v>-304281965</v>
      </c>
    </row>
    <row r="497" spans="1:5" ht="15">
      <c r="A497" s="431"/>
      <c r="B497" s="431"/>
      <c r="C497" s="432" t="s">
        <v>713</v>
      </c>
      <c r="D497" s="434">
        <v>543797254</v>
      </c>
      <c r="E497" s="434">
        <v>543797254</v>
      </c>
    </row>
    <row r="498" spans="1:5" ht="15">
      <c r="A498" s="431"/>
      <c r="B498" s="431"/>
      <c r="C498" s="432" t="s">
        <v>714</v>
      </c>
      <c r="D498" s="434">
        <v>-294550810</v>
      </c>
      <c r="E498" s="434">
        <v>-1178203240</v>
      </c>
    </row>
    <row r="499" spans="1:5" ht="15">
      <c r="A499" s="431"/>
      <c r="B499" s="431"/>
      <c r="C499" s="432" t="s">
        <v>586</v>
      </c>
      <c r="D499" s="434">
        <v>-49422467</v>
      </c>
      <c r="E499" s="434">
        <v>-49422467</v>
      </c>
    </row>
    <row r="500" spans="1:5" ht="15">
      <c r="A500" s="431"/>
      <c r="B500" s="431"/>
      <c r="C500" s="432" t="s">
        <v>587</v>
      </c>
      <c r="D500" s="434">
        <v>-8595995</v>
      </c>
      <c r="E500" s="434">
        <v>-8595995</v>
      </c>
    </row>
    <row r="501" spans="1:5" ht="15">
      <c r="A501" s="431"/>
      <c r="B501" s="431"/>
      <c r="C501" s="432" t="s">
        <v>588</v>
      </c>
      <c r="D501" s="434">
        <v>24711234</v>
      </c>
      <c r="E501" s="434">
        <v>24711234</v>
      </c>
    </row>
    <row r="502" spans="1:5" ht="15">
      <c r="A502" s="431"/>
      <c r="B502" s="431"/>
      <c r="C502" s="432" t="s">
        <v>589</v>
      </c>
      <c r="D502" s="434">
        <v>4297998</v>
      </c>
      <c r="E502" s="434">
        <v>4297998</v>
      </c>
    </row>
    <row r="503" spans="1:5" ht="15">
      <c r="A503" s="431"/>
      <c r="B503" s="431"/>
      <c r="C503" s="432" t="s">
        <v>715</v>
      </c>
      <c r="D503" s="434">
        <v>12638388</v>
      </c>
      <c r="E503" s="434">
        <v>12638388</v>
      </c>
    </row>
    <row r="504" spans="1:5" ht="30">
      <c r="A504" s="431"/>
      <c r="B504" s="431"/>
      <c r="C504" s="432" t="s">
        <v>716</v>
      </c>
      <c r="D504" s="434">
        <v>8170224739</v>
      </c>
      <c r="E504" s="434">
        <v>16179218511</v>
      </c>
    </row>
    <row r="505" spans="1:5" ht="15">
      <c r="A505" s="431"/>
      <c r="B505" s="431"/>
      <c r="C505" s="432" t="s">
        <v>717</v>
      </c>
      <c r="D505" s="434">
        <v>194679417</v>
      </c>
      <c r="E505" s="434">
        <v>194679417</v>
      </c>
    </row>
    <row r="506" spans="1:5" ht="30">
      <c r="A506" s="431"/>
      <c r="B506" s="431"/>
      <c r="C506" s="432" t="s">
        <v>718</v>
      </c>
      <c r="D506" s="434">
        <v>2924940457</v>
      </c>
      <c r="E506" s="434">
        <v>5792160227</v>
      </c>
    </row>
    <row r="507" spans="1:5" ht="15">
      <c r="A507" s="431"/>
      <c r="B507" s="431"/>
      <c r="C507" s="431" t="s">
        <v>553</v>
      </c>
      <c r="D507" s="434">
        <v>-29935941</v>
      </c>
      <c r="E507" s="434">
        <v>-29935941</v>
      </c>
    </row>
    <row r="508" spans="1:5" ht="15">
      <c r="A508" s="431"/>
      <c r="B508" s="431"/>
      <c r="C508" s="431" t="s">
        <v>719</v>
      </c>
      <c r="D508" s="434">
        <v>0</v>
      </c>
      <c r="E508" s="434">
        <v>543000000</v>
      </c>
    </row>
    <row r="509" spans="1:5" ht="15">
      <c r="A509" s="431"/>
      <c r="B509" s="431"/>
      <c r="C509" s="431" t="s">
        <v>720</v>
      </c>
      <c r="D509" s="434">
        <v>0</v>
      </c>
      <c r="E509" s="434">
        <v>151000000</v>
      </c>
    </row>
    <row r="510" spans="1:5" ht="15">
      <c r="A510" s="431"/>
      <c r="B510" s="431"/>
      <c r="C510" s="431" t="s">
        <v>591</v>
      </c>
      <c r="D510" s="434">
        <v>-1432701</v>
      </c>
      <c r="E510" s="434">
        <v>-1432701</v>
      </c>
    </row>
    <row r="511" spans="1:5" ht="15">
      <c r="A511" s="431"/>
      <c r="B511" s="431"/>
      <c r="C511" s="431" t="s">
        <v>592</v>
      </c>
      <c r="D511" s="434">
        <v>-200681109</v>
      </c>
      <c r="E511" s="434">
        <v>-200681109</v>
      </c>
    </row>
    <row r="512" spans="1:5" ht="15">
      <c r="A512" s="431"/>
      <c r="B512" s="431"/>
      <c r="C512" s="431" t="s">
        <v>721</v>
      </c>
      <c r="D512" s="434">
        <v>-589101620</v>
      </c>
      <c r="E512" s="434">
        <v>-589101620</v>
      </c>
    </row>
    <row r="513" spans="1:5" ht="15">
      <c r="A513" s="431"/>
      <c r="B513" s="431"/>
      <c r="C513" s="431" t="s">
        <v>722</v>
      </c>
      <c r="D513" s="434">
        <v>-210898380</v>
      </c>
      <c r="E513" s="434">
        <v>-210898380</v>
      </c>
    </row>
    <row r="514" spans="1:5" ht="15">
      <c r="A514" s="431"/>
      <c r="B514" s="431"/>
      <c r="C514" s="431" t="s">
        <v>723</v>
      </c>
      <c r="D514" s="434">
        <v>413214908</v>
      </c>
      <c r="E514" s="434">
        <v>413214908</v>
      </c>
    </row>
    <row r="515" spans="1:5" ht="15">
      <c r="A515" s="431"/>
      <c r="B515" s="431"/>
      <c r="C515" s="431" t="s">
        <v>724</v>
      </c>
      <c r="D515" s="434">
        <v>5644704</v>
      </c>
      <c r="E515" s="434">
        <v>5644704</v>
      </c>
    </row>
    <row r="516" spans="1:5" ht="15">
      <c r="A516" s="431"/>
      <c r="B516" s="431"/>
      <c r="C516" s="431" t="s">
        <v>725</v>
      </c>
      <c r="D516" s="434">
        <v>1214017488</v>
      </c>
      <c r="E516" s="434">
        <v>2515797945</v>
      </c>
    </row>
    <row r="517" spans="1:5" ht="15">
      <c r="A517" s="431"/>
      <c r="B517" s="431"/>
      <c r="C517" s="431" t="s">
        <v>726</v>
      </c>
      <c r="D517" s="434">
        <v>2020804</v>
      </c>
      <c r="E517" s="434">
        <v>2020804</v>
      </c>
    </row>
    <row r="518" spans="1:5" ht="15">
      <c r="A518" s="431"/>
      <c r="B518" s="431"/>
      <c r="C518" s="431" t="s">
        <v>727</v>
      </c>
      <c r="D518" s="434">
        <v>434618261</v>
      </c>
      <c r="E518" s="434">
        <v>900655664</v>
      </c>
    </row>
    <row r="519" spans="1:5" ht="15">
      <c r="A519" s="431"/>
      <c r="B519" s="431"/>
      <c r="C519" s="431" t="s">
        <v>688</v>
      </c>
      <c r="D519" s="434">
        <v>3950082</v>
      </c>
      <c r="E519" s="434">
        <v>3950082</v>
      </c>
    </row>
    <row r="520" spans="1:5" ht="15">
      <c r="A520" s="431"/>
      <c r="B520" s="431"/>
      <c r="C520" s="431" t="s">
        <v>728</v>
      </c>
      <c r="D520" s="434">
        <v>11033748</v>
      </c>
      <c r="E520" s="434">
        <v>11033748</v>
      </c>
    </row>
    <row r="521" spans="1:5" ht="15">
      <c r="A521" s="431"/>
      <c r="B521" s="431"/>
      <c r="C521" s="431" t="s">
        <v>729</v>
      </c>
      <c r="D521" s="434">
        <v>5151720</v>
      </c>
      <c r="E521" s="434">
        <v>5151720</v>
      </c>
    </row>
    <row r="522" spans="1:5" ht="15">
      <c r="A522" s="431"/>
      <c r="B522" s="431"/>
      <c r="C522" s="431" t="s">
        <v>730</v>
      </c>
      <c r="D522" s="434">
        <v>1844315</v>
      </c>
      <c r="E522" s="434">
        <v>1844315</v>
      </c>
    </row>
    <row r="523" spans="1:5" ht="15">
      <c r="A523" s="431"/>
      <c r="B523" s="432" t="s">
        <v>464</v>
      </c>
      <c r="C523" s="432"/>
      <c r="D523" s="434">
        <v>11925864166</v>
      </c>
      <c r="E523" s="434">
        <v>24050199038</v>
      </c>
    </row>
    <row r="524" spans="1:5" ht="15">
      <c r="A524" s="431"/>
      <c r="B524" s="433">
        <v>43589</v>
      </c>
      <c r="C524" s="432" t="s">
        <v>560</v>
      </c>
      <c r="D524" s="434">
        <v>12126207286</v>
      </c>
      <c r="E524" s="434">
        <v>0</v>
      </c>
    </row>
    <row r="525" spans="1:5" ht="15">
      <c r="A525" s="431"/>
      <c r="B525" s="431"/>
      <c r="C525" s="432" t="s">
        <v>561</v>
      </c>
      <c r="D525" s="434">
        <v>62118970</v>
      </c>
      <c r="E525" s="434">
        <v>0</v>
      </c>
    </row>
    <row r="526" spans="1:5" ht="15">
      <c r="A526" s="431"/>
      <c r="B526" s="432" t="s">
        <v>435</v>
      </c>
      <c r="C526" s="432"/>
      <c r="D526" s="434">
        <v>12188326256</v>
      </c>
      <c r="E526" s="434">
        <v>0</v>
      </c>
    </row>
    <row r="527" spans="1:5" ht="15">
      <c r="A527" s="431"/>
      <c r="B527" s="433">
        <v>43608</v>
      </c>
      <c r="C527" s="432" t="s">
        <v>731</v>
      </c>
      <c r="D527" s="434">
        <v>-500000000</v>
      </c>
      <c r="E527" s="434">
        <v>-1000000000</v>
      </c>
    </row>
    <row r="528" spans="1:5" ht="30">
      <c r="A528" s="431"/>
      <c r="B528" s="432" t="s">
        <v>614</v>
      </c>
      <c r="C528" s="432"/>
      <c r="D528" s="434">
        <v>-500000000</v>
      </c>
      <c r="E528" s="434">
        <v>-1000000000</v>
      </c>
    </row>
    <row r="529" spans="1:5" ht="30">
      <c r="A529" s="435" t="s">
        <v>474</v>
      </c>
      <c r="B529" s="435"/>
      <c r="C529" s="435"/>
      <c r="D529" s="436">
        <v>23640022327</v>
      </c>
      <c r="E529" s="436">
        <v>23076030943</v>
      </c>
    </row>
    <row r="530" spans="1:5" ht="15">
      <c r="A530" s="431" t="s">
        <v>475</v>
      </c>
      <c r="B530" s="433">
        <v>43539</v>
      </c>
      <c r="C530" s="431" t="s">
        <v>732</v>
      </c>
      <c r="D530" s="434">
        <v>2132930</v>
      </c>
      <c r="E530" s="434">
        <v>2175588</v>
      </c>
    </row>
    <row r="531" spans="1:5" ht="15">
      <c r="A531" s="431"/>
      <c r="B531" s="431"/>
      <c r="C531" s="431" t="s">
        <v>733</v>
      </c>
      <c r="D531" s="434">
        <v>5462253</v>
      </c>
      <c r="E531" s="434">
        <v>5000000</v>
      </c>
    </row>
    <row r="532" spans="1:5" ht="30">
      <c r="A532" s="431"/>
      <c r="B532" s="432" t="s">
        <v>527</v>
      </c>
      <c r="C532" s="432"/>
      <c r="D532" s="434">
        <v>7595183</v>
      </c>
      <c r="E532" s="434">
        <v>7175588</v>
      </c>
    </row>
    <row r="533" spans="1:5" ht="15">
      <c r="A533" s="431"/>
      <c r="B533" s="433">
        <v>43587</v>
      </c>
      <c r="C533" s="432" t="s">
        <v>544</v>
      </c>
      <c r="D533" s="434">
        <v>-4843000</v>
      </c>
      <c r="E533" s="434">
        <v>-2000000</v>
      </c>
    </row>
    <row r="534" spans="1:5" ht="15">
      <c r="A534" s="431"/>
      <c r="B534" s="431"/>
      <c r="C534" s="432" t="s">
        <v>567</v>
      </c>
      <c r="D534" s="434">
        <v>-116400</v>
      </c>
      <c r="E534" s="434">
        <v>-116400</v>
      </c>
    </row>
    <row r="535" spans="1:5" ht="15">
      <c r="A535" s="431"/>
      <c r="B535" s="431"/>
      <c r="C535" s="432" t="s">
        <v>568</v>
      </c>
      <c r="D535" s="434">
        <v>4576992</v>
      </c>
      <c r="E535" s="434">
        <v>4576992</v>
      </c>
    </row>
    <row r="536" spans="1:5" ht="15">
      <c r="A536" s="431"/>
      <c r="B536" s="431"/>
      <c r="C536" s="432" t="s">
        <v>569</v>
      </c>
      <c r="D536" s="434">
        <v>3343044</v>
      </c>
      <c r="E536" s="434">
        <v>3343044</v>
      </c>
    </row>
    <row r="537" spans="1:6" ht="15">
      <c r="A537" s="431"/>
      <c r="B537" s="431"/>
      <c r="C537" s="432" t="s">
        <v>571</v>
      </c>
      <c r="D537" s="434">
        <v>52837562</v>
      </c>
      <c r="E537" s="434">
        <v>52769073</v>
      </c>
      <c r="F537" s="543"/>
    </row>
    <row r="538" spans="1:5" ht="15">
      <c r="A538" s="431"/>
      <c r="B538" s="431"/>
      <c r="C538" s="432" t="s">
        <v>575</v>
      </c>
      <c r="D538" s="434">
        <v>-39343</v>
      </c>
      <c r="E538" s="434">
        <v>-39343</v>
      </c>
    </row>
    <row r="539" spans="1:5" ht="15">
      <c r="A539" s="431"/>
      <c r="B539" s="431"/>
      <c r="C539" s="432" t="s">
        <v>576</v>
      </c>
      <c r="D539" s="434">
        <v>-6298998</v>
      </c>
      <c r="E539" s="434">
        <v>-6298998</v>
      </c>
    </row>
    <row r="540" spans="1:5" ht="15">
      <c r="A540" s="431"/>
      <c r="B540" s="431"/>
      <c r="C540" s="432" t="s">
        <v>578</v>
      </c>
      <c r="D540" s="434">
        <v>-28805859</v>
      </c>
      <c r="E540" s="434">
        <v>-28805859</v>
      </c>
    </row>
    <row r="541" spans="1:5" ht="15">
      <c r="A541" s="431"/>
      <c r="B541" s="431"/>
      <c r="C541" s="432" t="s">
        <v>579</v>
      </c>
      <c r="D541" s="434">
        <v>3149500</v>
      </c>
      <c r="E541" s="434">
        <v>3149500</v>
      </c>
    </row>
    <row r="542" spans="1:5" ht="15">
      <c r="A542" s="431"/>
      <c r="B542" s="431"/>
      <c r="C542" s="432" t="s">
        <v>581</v>
      </c>
      <c r="D542" s="434">
        <v>14402930</v>
      </c>
      <c r="E542" s="434">
        <v>14402930</v>
      </c>
    </row>
    <row r="543" spans="1:5" ht="15">
      <c r="A543" s="431"/>
      <c r="B543" s="431"/>
      <c r="C543" s="432" t="s">
        <v>582</v>
      </c>
      <c r="D543" s="434">
        <v>1196810</v>
      </c>
      <c r="E543" s="434">
        <v>1196810</v>
      </c>
    </row>
    <row r="544" spans="1:5" ht="15">
      <c r="A544" s="431"/>
      <c r="B544" s="431"/>
      <c r="C544" s="432" t="s">
        <v>584</v>
      </c>
      <c r="D544" s="434">
        <v>18915847</v>
      </c>
      <c r="E544" s="434">
        <v>18891328</v>
      </c>
    </row>
    <row r="545" spans="1:5" ht="15">
      <c r="A545" s="431"/>
      <c r="B545" s="431"/>
      <c r="C545" s="432" t="s">
        <v>696</v>
      </c>
      <c r="D545" s="434">
        <v>2958048</v>
      </c>
      <c r="E545" s="434">
        <v>2958048</v>
      </c>
    </row>
    <row r="546" spans="1:5" ht="15">
      <c r="A546" s="431"/>
      <c r="B546" s="431"/>
      <c r="C546" s="432" t="s">
        <v>641</v>
      </c>
      <c r="D546" s="434">
        <v>-16437</v>
      </c>
      <c r="E546" s="434">
        <v>-16437</v>
      </c>
    </row>
    <row r="547" spans="1:5" ht="15">
      <c r="A547" s="431"/>
      <c r="B547" s="431"/>
      <c r="C547" s="431" t="s">
        <v>586</v>
      </c>
      <c r="D547" s="434">
        <v>-17594968</v>
      </c>
      <c r="E547" s="434">
        <v>-17594968</v>
      </c>
    </row>
    <row r="548" spans="1:5" ht="15">
      <c r="A548" s="431"/>
      <c r="B548" s="431"/>
      <c r="C548" s="431" t="s">
        <v>587</v>
      </c>
      <c r="D548" s="434">
        <v>-80463293</v>
      </c>
      <c r="E548" s="434">
        <v>-80463293</v>
      </c>
    </row>
    <row r="549" spans="1:5" ht="15">
      <c r="A549" s="431"/>
      <c r="B549" s="431"/>
      <c r="C549" s="431" t="s">
        <v>588</v>
      </c>
      <c r="D549" s="434">
        <v>8797484</v>
      </c>
      <c r="E549" s="434">
        <v>8797484</v>
      </c>
    </row>
    <row r="550" spans="1:5" ht="15">
      <c r="A550" s="431"/>
      <c r="B550" s="431"/>
      <c r="C550" s="431" t="s">
        <v>589</v>
      </c>
      <c r="D550" s="434">
        <v>40231647</v>
      </c>
      <c r="E550" s="434">
        <v>40231647</v>
      </c>
    </row>
    <row r="551" spans="1:5" ht="15">
      <c r="A551" s="431"/>
      <c r="B551" s="431"/>
      <c r="C551" s="432" t="s">
        <v>734</v>
      </c>
      <c r="D551" s="434">
        <v>20000000</v>
      </c>
      <c r="E551" s="434">
        <v>20000000</v>
      </c>
    </row>
    <row r="552" spans="1:5" ht="15">
      <c r="A552" s="431"/>
      <c r="B552" s="431"/>
      <c r="C552" s="431" t="s">
        <v>553</v>
      </c>
      <c r="D552" s="434">
        <v>-8013171</v>
      </c>
      <c r="E552" s="434">
        <v>-8013171</v>
      </c>
    </row>
    <row r="553" spans="1:5" ht="15">
      <c r="A553" s="431"/>
      <c r="B553" s="431"/>
      <c r="C553" s="431" t="s">
        <v>591</v>
      </c>
      <c r="D553" s="434">
        <v>-377528</v>
      </c>
      <c r="E553" s="434">
        <v>-376748</v>
      </c>
    </row>
    <row r="554" spans="1:5" ht="15">
      <c r="A554" s="431"/>
      <c r="B554" s="431"/>
      <c r="C554" s="431" t="s">
        <v>592</v>
      </c>
      <c r="D554" s="434">
        <v>-5569204</v>
      </c>
      <c r="E554" s="434">
        <v>-5562355</v>
      </c>
    </row>
    <row r="555" spans="1:5" ht="15">
      <c r="A555" s="431"/>
      <c r="B555" s="431"/>
      <c r="C555" s="431" t="s">
        <v>735</v>
      </c>
      <c r="D555" s="434">
        <v>-231000000</v>
      </c>
      <c r="E555" s="434">
        <v>-231000000</v>
      </c>
    </row>
    <row r="556" spans="1:5" ht="15">
      <c r="A556" s="431"/>
      <c r="B556" s="431"/>
      <c r="C556" s="431" t="s">
        <v>688</v>
      </c>
      <c r="D556" s="434">
        <v>1638563</v>
      </c>
      <c r="E556" s="434">
        <v>1638563</v>
      </c>
    </row>
    <row r="557" spans="1:5" ht="15">
      <c r="A557" s="431"/>
      <c r="B557" s="431"/>
      <c r="C557" s="431" t="s">
        <v>730</v>
      </c>
      <c r="D557" s="434">
        <v>1058981</v>
      </c>
      <c r="E557" s="434">
        <v>1058981</v>
      </c>
    </row>
    <row r="558" spans="1:5" ht="15">
      <c r="A558" s="431"/>
      <c r="B558" s="432" t="s">
        <v>464</v>
      </c>
      <c r="C558" s="432"/>
      <c r="D558" s="434">
        <v>-210030793</v>
      </c>
      <c r="E558" s="434">
        <v>-207273172</v>
      </c>
    </row>
    <row r="559" spans="1:5" ht="15">
      <c r="A559" s="431"/>
      <c r="B559" s="433">
        <v>43589</v>
      </c>
      <c r="C559" s="432" t="s">
        <v>560</v>
      </c>
      <c r="D559" s="434">
        <v>35337737</v>
      </c>
      <c r="E559" s="434">
        <v>0</v>
      </c>
    </row>
    <row r="560" spans="1:7" ht="15">
      <c r="A560" s="431"/>
      <c r="B560" s="431"/>
      <c r="C560" s="432" t="s">
        <v>561</v>
      </c>
      <c r="D560" s="434">
        <v>44000000</v>
      </c>
      <c r="E560" s="434">
        <v>0</v>
      </c>
      <c r="G560" s="543"/>
    </row>
    <row r="561" spans="1:5" ht="15">
      <c r="A561" s="431"/>
      <c r="B561" s="432" t="s">
        <v>435</v>
      </c>
      <c r="C561" s="432"/>
      <c r="D561" s="434">
        <v>79337737</v>
      </c>
      <c r="E561" s="434">
        <v>0</v>
      </c>
    </row>
    <row r="562" spans="1:5" ht="15">
      <c r="A562" s="435" t="s">
        <v>476</v>
      </c>
      <c r="B562" s="435"/>
      <c r="C562" s="435"/>
      <c r="D562" s="436">
        <v>-123097873</v>
      </c>
      <c r="E562" s="436">
        <v>-200097584</v>
      </c>
    </row>
    <row r="563" spans="1:5" ht="15">
      <c r="A563" s="431" t="s">
        <v>477</v>
      </c>
      <c r="B563" s="433">
        <v>43587</v>
      </c>
      <c r="C563" s="432" t="s">
        <v>736</v>
      </c>
      <c r="D563" s="437">
        <v>-150000000</v>
      </c>
      <c r="E563" s="434">
        <v>0</v>
      </c>
    </row>
    <row r="564" spans="1:5" ht="15">
      <c r="A564" s="431"/>
      <c r="B564" s="431"/>
      <c r="C564" s="432" t="s">
        <v>566</v>
      </c>
      <c r="D564" s="434">
        <v>-30000000</v>
      </c>
      <c r="E564" s="434">
        <v>-30000000</v>
      </c>
    </row>
    <row r="565" spans="1:5" ht="15">
      <c r="A565" s="431"/>
      <c r="B565" s="431"/>
      <c r="C565" s="432" t="s">
        <v>544</v>
      </c>
      <c r="D565" s="434">
        <v>0</v>
      </c>
      <c r="E565" s="434"/>
    </row>
    <row r="566" spans="1:5" ht="15">
      <c r="A566" s="431"/>
      <c r="B566" s="431"/>
      <c r="C566" s="432" t="s">
        <v>567</v>
      </c>
      <c r="D566" s="434">
        <v>-116400</v>
      </c>
      <c r="E566" s="434">
        <v>-116400</v>
      </c>
    </row>
    <row r="567" spans="1:5" ht="15">
      <c r="A567" s="431"/>
      <c r="B567" s="431"/>
      <c r="C567" s="432" t="s">
        <v>568</v>
      </c>
      <c r="D567" s="434">
        <v>56116560</v>
      </c>
      <c r="E567" s="434">
        <v>56116560</v>
      </c>
    </row>
    <row r="568" spans="1:5" ht="15">
      <c r="A568" s="431"/>
      <c r="B568" s="431"/>
      <c r="C568" s="432" t="s">
        <v>569</v>
      </c>
      <c r="D568" s="434">
        <v>28108850</v>
      </c>
      <c r="E568" s="434">
        <v>28108850</v>
      </c>
    </row>
    <row r="569" spans="1:6" ht="15">
      <c r="A569" s="431"/>
      <c r="B569" s="431"/>
      <c r="C569" s="432" t="s">
        <v>571</v>
      </c>
      <c r="D569" s="434">
        <v>3309454</v>
      </c>
      <c r="E569" s="434">
        <v>3309454</v>
      </c>
      <c r="F569" s="543"/>
    </row>
    <row r="570" spans="1:6" ht="15">
      <c r="A570" s="431"/>
      <c r="B570" s="431"/>
      <c r="C570" s="432" t="s">
        <v>575</v>
      </c>
      <c r="D570" s="434">
        <v>-39343</v>
      </c>
      <c r="E570" s="434">
        <v>-39343</v>
      </c>
      <c r="F570" s="543"/>
    </row>
    <row r="571" spans="1:6" ht="15">
      <c r="A571" s="431"/>
      <c r="B571" s="431"/>
      <c r="C571" s="432" t="s">
        <v>576</v>
      </c>
      <c r="D571" s="434">
        <v>-23645456</v>
      </c>
      <c r="E571" s="434">
        <v>-23645456</v>
      </c>
      <c r="F571" s="543"/>
    </row>
    <row r="572" spans="1:5" ht="15">
      <c r="A572" s="431"/>
      <c r="B572" s="431"/>
      <c r="C572" s="432" t="s">
        <v>578</v>
      </c>
      <c r="D572" s="434">
        <v>-1804241</v>
      </c>
      <c r="E572" s="434">
        <v>-1804241</v>
      </c>
    </row>
    <row r="573" spans="1:5" ht="15">
      <c r="A573" s="431"/>
      <c r="B573" s="431"/>
      <c r="C573" s="432" t="s">
        <v>579</v>
      </c>
      <c r="D573" s="434">
        <v>11822729</v>
      </c>
      <c r="E573" s="434">
        <v>11822729</v>
      </c>
    </row>
    <row r="574" spans="1:5" ht="15">
      <c r="A574" s="431"/>
      <c r="B574" s="431"/>
      <c r="C574" s="432" t="s">
        <v>581</v>
      </c>
      <c r="D574" s="434">
        <v>902120</v>
      </c>
      <c r="E574" s="434">
        <v>902120</v>
      </c>
    </row>
    <row r="575" spans="1:5" ht="15">
      <c r="A575" s="431"/>
      <c r="B575" s="431"/>
      <c r="C575" s="432" t="s">
        <v>582</v>
      </c>
      <c r="D575" s="434">
        <v>10062968</v>
      </c>
      <c r="E575" s="434">
        <v>10062968</v>
      </c>
    </row>
    <row r="576" spans="1:5" ht="15">
      <c r="A576" s="431"/>
      <c r="B576" s="431"/>
      <c r="C576" s="432" t="s">
        <v>584</v>
      </c>
      <c r="D576" s="434">
        <v>1184784</v>
      </c>
      <c r="E576" s="434">
        <v>1184784</v>
      </c>
    </row>
    <row r="577" spans="1:5" ht="15">
      <c r="A577" s="431"/>
      <c r="B577" s="431"/>
      <c r="C577" s="432" t="s">
        <v>641</v>
      </c>
      <c r="D577" s="434">
        <v>-1</v>
      </c>
      <c r="E577" s="434">
        <v>-1</v>
      </c>
    </row>
    <row r="578" spans="1:5" ht="15">
      <c r="A578" s="431"/>
      <c r="B578" s="431"/>
      <c r="C578" s="431" t="s">
        <v>586</v>
      </c>
      <c r="D578" s="434">
        <v>-66048760</v>
      </c>
      <c r="E578" s="434">
        <v>-66048760</v>
      </c>
    </row>
    <row r="579" spans="1:5" ht="15">
      <c r="A579" s="431"/>
      <c r="B579" s="431"/>
      <c r="C579" s="431" t="s">
        <v>587</v>
      </c>
      <c r="D579" s="434">
        <v>-5039778</v>
      </c>
      <c r="E579" s="434">
        <v>-5039778</v>
      </c>
    </row>
    <row r="580" spans="1:5" ht="15">
      <c r="A580" s="431"/>
      <c r="B580" s="431"/>
      <c r="C580" s="431" t="s">
        <v>588</v>
      </c>
      <c r="D580" s="434">
        <v>33024382</v>
      </c>
      <c r="E580" s="434">
        <v>33024382</v>
      </c>
    </row>
    <row r="581" spans="1:5" ht="15">
      <c r="A581" s="431"/>
      <c r="B581" s="431"/>
      <c r="C581" s="431" t="s">
        <v>589</v>
      </c>
      <c r="D581" s="434">
        <v>2519889</v>
      </c>
      <c r="E581" s="434">
        <v>2519889</v>
      </c>
    </row>
    <row r="582" spans="1:5" ht="15">
      <c r="A582" s="431"/>
      <c r="B582" s="431"/>
      <c r="C582" s="431" t="s">
        <v>737</v>
      </c>
      <c r="D582" s="434">
        <v>-69241848</v>
      </c>
      <c r="E582" s="434">
        <v>-69241848</v>
      </c>
    </row>
    <row r="583" spans="1:5" ht="15">
      <c r="A583" s="431"/>
      <c r="B583" s="431"/>
      <c r="C583" s="431" t="s">
        <v>591</v>
      </c>
      <c r="D583" s="434">
        <v>-2841356</v>
      </c>
      <c r="E583" s="434">
        <v>-2841356</v>
      </c>
    </row>
    <row r="584" spans="1:5" ht="15">
      <c r="A584" s="431"/>
      <c r="B584" s="431"/>
      <c r="C584" s="431" t="s">
        <v>592</v>
      </c>
      <c r="D584" s="434">
        <v>-336839</v>
      </c>
      <c r="E584" s="434">
        <v>-336839</v>
      </c>
    </row>
    <row r="585" spans="1:5" ht="15">
      <c r="A585" s="431"/>
      <c r="B585" s="431"/>
      <c r="C585" s="431" t="s">
        <v>599</v>
      </c>
      <c r="D585" s="434">
        <v>20089728</v>
      </c>
      <c r="E585" s="434">
        <v>20089728</v>
      </c>
    </row>
    <row r="586" spans="1:5" ht="15">
      <c r="A586" s="431"/>
      <c r="B586" s="432" t="s">
        <v>464</v>
      </c>
      <c r="C586" s="432"/>
      <c r="D586" s="434">
        <v>-181972558</v>
      </c>
      <c r="E586" s="434">
        <v>-31972558</v>
      </c>
    </row>
    <row r="587" spans="1:5" ht="15">
      <c r="A587" s="431"/>
      <c r="B587" s="433">
        <v>43589</v>
      </c>
      <c r="C587" s="432" t="s">
        <v>560</v>
      </c>
      <c r="D587" s="434">
        <v>1900000000</v>
      </c>
      <c r="E587" s="434">
        <v>0</v>
      </c>
    </row>
    <row r="588" spans="1:5" ht="15">
      <c r="A588" s="431"/>
      <c r="B588" s="431"/>
      <c r="C588" s="432" t="s">
        <v>561</v>
      </c>
      <c r="D588" s="434">
        <v>0</v>
      </c>
      <c r="E588" s="434">
        <v>0</v>
      </c>
    </row>
    <row r="589" spans="1:5" ht="15">
      <c r="A589" s="431"/>
      <c r="B589" s="432" t="s">
        <v>435</v>
      </c>
      <c r="C589" s="432"/>
      <c r="D589" s="434">
        <v>1900000000</v>
      </c>
      <c r="E589" s="434">
        <v>0</v>
      </c>
    </row>
    <row r="590" spans="1:5" ht="15">
      <c r="A590" s="431"/>
      <c r="B590" s="433">
        <v>43608</v>
      </c>
      <c r="C590" s="431" t="s">
        <v>738</v>
      </c>
      <c r="D590" s="434">
        <v>0</v>
      </c>
      <c r="E590" s="434">
        <v>0</v>
      </c>
    </row>
    <row r="591" spans="1:5" ht="15">
      <c r="A591" s="431"/>
      <c r="B591" s="431" t="s">
        <v>614</v>
      </c>
      <c r="C591" s="431"/>
      <c r="D591" s="434">
        <v>0</v>
      </c>
      <c r="E591" s="434">
        <v>0</v>
      </c>
    </row>
    <row r="592" spans="1:5" ht="30">
      <c r="A592" s="435" t="s">
        <v>478</v>
      </c>
      <c r="B592" s="435"/>
      <c r="C592" s="435"/>
      <c r="D592" s="436">
        <v>1718027442</v>
      </c>
      <c r="E592" s="436">
        <v>-31972558</v>
      </c>
    </row>
    <row r="593" spans="1:5" ht="15">
      <c r="A593" s="431" t="s">
        <v>479</v>
      </c>
      <c r="B593" s="433">
        <v>43539</v>
      </c>
      <c r="C593" s="432" t="s">
        <v>600</v>
      </c>
      <c r="D593" s="434">
        <v>46000000</v>
      </c>
      <c r="E593" s="434">
        <v>63000000</v>
      </c>
    </row>
    <row r="594" spans="1:5" ht="15">
      <c r="A594" s="431"/>
      <c r="B594" s="431"/>
      <c r="C594" s="432" t="s">
        <v>601</v>
      </c>
      <c r="D594" s="434">
        <v>3000000</v>
      </c>
      <c r="E594" s="434">
        <v>3000000</v>
      </c>
    </row>
    <row r="595" spans="1:5" ht="15">
      <c r="A595" s="431"/>
      <c r="B595" s="431"/>
      <c r="C595" s="432" t="s">
        <v>602</v>
      </c>
      <c r="D595" s="434">
        <v>6500000</v>
      </c>
      <c r="E595" s="434">
        <v>2500000</v>
      </c>
    </row>
    <row r="596" spans="1:5" ht="15">
      <c r="A596" s="431"/>
      <c r="B596" s="431"/>
      <c r="C596" s="432" t="s">
        <v>739</v>
      </c>
      <c r="D596" s="434">
        <v>34334955</v>
      </c>
      <c r="E596" s="434">
        <v>45478215</v>
      </c>
    </row>
    <row r="597" spans="1:5" ht="15">
      <c r="A597" s="431"/>
      <c r="B597" s="431"/>
      <c r="C597" s="432" t="s">
        <v>740</v>
      </c>
      <c r="D597" s="434">
        <v>-630000000</v>
      </c>
      <c r="E597" s="434">
        <v>0</v>
      </c>
    </row>
    <row r="598" spans="1:5" ht="15">
      <c r="A598" s="431"/>
      <c r="B598" s="431"/>
      <c r="C598" s="432" t="s">
        <v>604</v>
      </c>
      <c r="D598" s="434">
        <v>14000000</v>
      </c>
      <c r="E598" s="434">
        <v>14000000</v>
      </c>
    </row>
    <row r="599" spans="1:5" ht="30">
      <c r="A599" s="431"/>
      <c r="B599" s="432" t="s">
        <v>527</v>
      </c>
      <c r="C599" s="432"/>
      <c r="D599" s="434">
        <v>-526165045</v>
      </c>
      <c r="E599" s="434">
        <v>127978215</v>
      </c>
    </row>
    <row r="600" spans="1:5" ht="15">
      <c r="A600" s="431"/>
      <c r="B600" s="433">
        <v>43587</v>
      </c>
      <c r="C600" s="432" t="s">
        <v>566</v>
      </c>
      <c r="D600" s="434">
        <v>-6857000</v>
      </c>
      <c r="E600" s="434">
        <v>-6857000</v>
      </c>
    </row>
    <row r="601" spans="1:5" ht="15">
      <c r="A601" s="431"/>
      <c r="B601" s="431"/>
      <c r="C601" s="432" t="s">
        <v>544</v>
      </c>
      <c r="D601" s="434">
        <v>0</v>
      </c>
      <c r="E601" s="434"/>
    </row>
    <row r="602" spans="1:5" ht="15">
      <c r="A602" s="431"/>
      <c r="B602" s="431"/>
      <c r="C602" s="432" t="s">
        <v>569</v>
      </c>
      <c r="D602" s="434">
        <v>197384007</v>
      </c>
      <c r="E602" s="434">
        <v>197384007</v>
      </c>
    </row>
    <row r="603" spans="1:5" ht="15">
      <c r="A603" s="431"/>
      <c r="B603" s="431"/>
      <c r="C603" s="432" t="s">
        <v>571</v>
      </c>
      <c r="D603" s="434">
        <v>280595</v>
      </c>
      <c r="E603" s="434">
        <v>280595</v>
      </c>
    </row>
    <row r="604" spans="1:5" ht="15">
      <c r="A604" s="431"/>
      <c r="B604" s="431"/>
      <c r="C604" s="431" t="s">
        <v>575</v>
      </c>
      <c r="D604" s="434">
        <v>-39343</v>
      </c>
      <c r="E604" s="434">
        <v>-39343</v>
      </c>
    </row>
    <row r="605" spans="1:5" ht="15">
      <c r="A605" s="431"/>
      <c r="B605" s="431"/>
      <c r="C605" s="432" t="s">
        <v>576</v>
      </c>
      <c r="D605" s="434">
        <v>-77374059</v>
      </c>
      <c r="E605" s="434">
        <v>-77374059</v>
      </c>
    </row>
    <row r="606" spans="1:5" ht="15">
      <c r="A606" s="431"/>
      <c r="B606" s="431"/>
      <c r="C606" s="432" t="s">
        <v>578</v>
      </c>
      <c r="D606" s="434">
        <v>-152974</v>
      </c>
      <c r="E606" s="434">
        <v>-152974</v>
      </c>
    </row>
    <row r="607" spans="1:5" ht="15">
      <c r="A607" s="431"/>
      <c r="B607" s="431"/>
      <c r="C607" s="432" t="s">
        <v>579</v>
      </c>
      <c r="D607" s="434">
        <v>38687031</v>
      </c>
      <c r="E607" s="434">
        <v>38687031</v>
      </c>
    </row>
    <row r="608" spans="1:5" ht="15">
      <c r="A608" s="431"/>
      <c r="B608" s="431"/>
      <c r="C608" s="432" t="s">
        <v>581</v>
      </c>
      <c r="D608" s="434">
        <v>76487</v>
      </c>
      <c r="E608" s="434">
        <v>76487</v>
      </c>
    </row>
    <row r="609" spans="1:5" ht="15">
      <c r="A609" s="431"/>
      <c r="B609" s="431"/>
      <c r="C609" s="432" t="s">
        <v>582</v>
      </c>
      <c r="D609" s="434">
        <v>70663474</v>
      </c>
      <c r="E609" s="434">
        <v>70663474</v>
      </c>
    </row>
    <row r="610" spans="1:5" ht="15">
      <c r="A610" s="431"/>
      <c r="B610" s="431"/>
      <c r="C610" s="432" t="s">
        <v>584</v>
      </c>
      <c r="D610" s="434">
        <v>100453</v>
      </c>
      <c r="E610" s="434">
        <v>100453</v>
      </c>
    </row>
    <row r="611" spans="1:5" ht="15">
      <c r="A611" s="431"/>
      <c r="B611" s="431"/>
      <c r="C611" s="432" t="s">
        <v>696</v>
      </c>
      <c r="D611" s="434">
        <v>254892</v>
      </c>
      <c r="E611" s="434">
        <v>254892</v>
      </c>
    </row>
    <row r="612" spans="1:5" ht="15">
      <c r="A612" s="431"/>
      <c r="B612" s="431"/>
      <c r="C612" s="432" t="s">
        <v>741</v>
      </c>
      <c r="D612" s="434">
        <v>5102160</v>
      </c>
      <c r="E612" s="434">
        <v>5102160</v>
      </c>
    </row>
    <row r="613" spans="1:5" ht="15">
      <c r="A613" s="431"/>
      <c r="B613" s="431"/>
      <c r="C613" s="432" t="s">
        <v>742</v>
      </c>
      <c r="D613" s="434">
        <v>201740500</v>
      </c>
      <c r="E613" s="434">
        <v>201740500</v>
      </c>
    </row>
    <row r="614" spans="1:5" ht="15">
      <c r="A614" s="431"/>
      <c r="B614" s="431"/>
      <c r="C614" s="432" t="s">
        <v>710</v>
      </c>
      <c r="D614" s="434">
        <v>-116400</v>
      </c>
      <c r="E614" s="434">
        <v>-116400</v>
      </c>
    </row>
    <row r="615" spans="1:5" ht="15">
      <c r="A615" s="431"/>
      <c r="B615" s="431"/>
      <c r="C615" s="432" t="s">
        <v>743</v>
      </c>
      <c r="D615" s="434">
        <v>71799100</v>
      </c>
      <c r="E615" s="434">
        <v>71799100</v>
      </c>
    </row>
    <row r="616" spans="1:5" ht="15">
      <c r="A616" s="431"/>
      <c r="B616" s="431"/>
      <c r="C616" s="432" t="s">
        <v>744</v>
      </c>
      <c r="D616" s="434">
        <v>0</v>
      </c>
      <c r="E616" s="434">
        <v>0</v>
      </c>
    </row>
    <row r="617" spans="1:5" ht="15">
      <c r="A617" s="431"/>
      <c r="B617" s="431"/>
      <c r="C617" s="432" t="s">
        <v>745</v>
      </c>
      <c r="D617" s="434">
        <v>1826573</v>
      </c>
      <c r="E617" s="434">
        <v>1826573</v>
      </c>
    </row>
    <row r="618" spans="1:5" ht="30">
      <c r="A618" s="431"/>
      <c r="B618" s="431"/>
      <c r="C618" s="432" t="s">
        <v>746</v>
      </c>
      <c r="D618" s="434">
        <v>0</v>
      </c>
      <c r="E618" s="434">
        <v>0</v>
      </c>
    </row>
    <row r="619" spans="1:5" ht="15">
      <c r="A619" s="431"/>
      <c r="B619" s="431"/>
      <c r="C619" s="432" t="s">
        <v>641</v>
      </c>
      <c r="D619" s="434">
        <v>1</v>
      </c>
      <c r="E619" s="434">
        <v>1</v>
      </c>
    </row>
    <row r="620" spans="1:5" ht="15">
      <c r="A620" s="431"/>
      <c r="B620" s="431"/>
      <c r="C620" s="431" t="s">
        <v>586</v>
      </c>
      <c r="D620" s="434">
        <v>-216128658</v>
      </c>
      <c r="E620" s="434">
        <v>-216128658</v>
      </c>
    </row>
    <row r="621" spans="1:5" ht="15">
      <c r="A621" s="431"/>
      <c r="B621" s="431"/>
      <c r="C621" s="431" t="s">
        <v>587</v>
      </c>
      <c r="D621" s="434">
        <v>-427303</v>
      </c>
      <c r="E621" s="434">
        <v>-427303</v>
      </c>
    </row>
    <row r="622" spans="1:5" ht="15">
      <c r="A622" s="431"/>
      <c r="B622" s="431"/>
      <c r="C622" s="431" t="s">
        <v>588</v>
      </c>
      <c r="D622" s="434">
        <v>108064331</v>
      </c>
      <c r="E622" s="434">
        <v>108064331</v>
      </c>
    </row>
    <row r="623" spans="1:5" ht="15">
      <c r="A623" s="431"/>
      <c r="B623" s="431"/>
      <c r="C623" s="431" t="s">
        <v>589</v>
      </c>
      <c r="D623" s="434">
        <v>213652</v>
      </c>
      <c r="E623" s="434">
        <v>213652</v>
      </c>
    </row>
    <row r="624" spans="1:5" ht="15">
      <c r="A624" s="431"/>
      <c r="B624" s="431"/>
      <c r="C624" s="431" t="s">
        <v>553</v>
      </c>
      <c r="D624" s="434">
        <v>-392648266</v>
      </c>
      <c r="E624" s="434">
        <v>-392648266</v>
      </c>
    </row>
    <row r="625" spans="1:5" ht="15">
      <c r="A625" s="431"/>
      <c r="B625" s="431"/>
      <c r="C625" s="431" t="s">
        <v>591</v>
      </c>
      <c r="D625" s="434">
        <v>-34017801</v>
      </c>
      <c r="E625" s="434">
        <v>-34017801</v>
      </c>
    </row>
    <row r="626" spans="1:5" ht="15">
      <c r="A626" s="431"/>
      <c r="B626" s="431"/>
      <c r="C626" s="431" t="s">
        <v>592</v>
      </c>
      <c r="D626" s="434">
        <v>-28524</v>
      </c>
      <c r="E626" s="434">
        <v>-28524</v>
      </c>
    </row>
    <row r="627" spans="1:5" ht="15">
      <c r="A627" s="431"/>
      <c r="B627" s="431"/>
      <c r="C627" s="431" t="s">
        <v>747</v>
      </c>
      <c r="D627" s="434">
        <v>50378288</v>
      </c>
      <c r="E627" s="434">
        <v>50378288</v>
      </c>
    </row>
    <row r="628" spans="1:5" ht="15">
      <c r="A628" s="431"/>
      <c r="B628" s="431"/>
      <c r="C628" s="431" t="s">
        <v>748</v>
      </c>
      <c r="D628" s="434">
        <v>18035427</v>
      </c>
      <c r="E628" s="434">
        <v>18035427</v>
      </c>
    </row>
    <row r="629" spans="1:5" ht="15">
      <c r="A629" s="431"/>
      <c r="B629" s="431"/>
      <c r="C629" s="431" t="s">
        <v>698</v>
      </c>
      <c r="D629" s="434">
        <v>91251</v>
      </c>
      <c r="E629" s="434">
        <v>91251</v>
      </c>
    </row>
    <row r="630" spans="1:5" ht="15">
      <c r="A630" s="431"/>
      <c r="B630" s="431"/>
      <c r="C630" s="431" t="s">
        <v>749</v>
      </c>
      <c r="D630" s="434">
        <v>72223099</v>
      </c>
      <c r="E630" s="434">
        <v>72223099</v>
      </c>
    </row>
    <row r="631" spans="1:5" ht="15">
      <c r="A631" s="431"/>
      <c r="B631" s="431"/>
      <c r="C631" s="431" t="s">
        <v>750</v>
      </c>
      <c r="D631" s="434">
        <v>25704078</v>
      </c>
      <c r="E631" s="434">
        <v>25704078</v>
      </c>
    </row>
    <row r="632" spans="1:5" ht="15">
      <c r="A632" s="431"/>
      <c r="B632" s="432" t="s">
        <v>464</v>
      </c>
      <c r="C632" s="432"/>
      <c r="D632" s="434">
        <v>134835071</v>
      </c>
      <c r="E632" s="434">
        <v>134835071</v>
      </c>
    </row>
    <row r="633" spans="1:5" ht="15">
      <c r="A633" s="431"/>
      <c r="B633" s="433">
        <v>43589</v>
      </c>
      <c r="C633" s="432" t="s">
        <v>560</v>
      </c>
      <c r="D633" s="434">
        <v>71726159</v>
      </c>
      <c r="E633" s="434">
        <v>0</v>
      </c>
    </row>
    <row r="634" spans="1:5" ht="15">
      <c r="A634" s="431"/>
      <c r="B634" s="431"/>
      <c r="C634" s="432" t="s">
        <v>561</v>
      </c>
      <c r="D634" s="434">
        <v>35605891</v>
      </c>
      <c r="E634" s="434">
        <v>0</v>
      </c>
    </row>
    <row r="635" spans="1:5" ht="15">
      <c r="A635" s="431"/>
      <c r="B635" s="432" t="s">
        <v>435</v>
      </c>
      <c r="C635" s="432"/>
      <c r="D635" s="434">
        <v>107332050</v>
      </c>
      <c r="E635" s="434">
        <v>0</v>
      </c>
    </row>
    <row r="636" spans="1:5" ht="30">
      <c r="A636" s="435" t="s">
        <v>481</v>
      </c>
      <c r="B636" s="435"/>
      <c r="C636" s="435"/>
      <c r="D636" s="436">
        <v>-283997924</v>
      </c>
      <c r="E636" s="436">
        <v>262813286</v>
      </c>
    </row>
    <row r="637" spans="1:5" ht="15">
      <c r="A637" s="431" t="s">
        <v>751</v>
      </c>
      <c r="B637" s="433">
        <v>43587</v>
      </c>
      <c r="C637" s="432" t="s">
        <v>546</v>
      </c>
      <c r="D637" s="434">
        <v>3215971</v>
      </c>
      <c r="E637" s="434">
        <v>3215971</v>
      </c>
    </row>
    <row r="638" spans="1:5" ht="15">
      <c r="A638" s="431"/>
      <c r="B638" s="431"/>
      <c r="C638" s="432" t="s">
        <v>616</v>
      </c>
      <c r="D638" s="434">
        <v>1082666</v>
      </c>
      <c r="E638" s="434">
        <v>1082666</v>
      </c>
    </row>
    <row r="639" spans="1:5" ht="15">
      <c r="A639" s="431"/>
      <c r="B639" s="431"/>
      <c r="C639" s="432" t="s">
        <v>549</v>
      </c>
      <c r="D639" s="434">
        <v>-993832</v>
      </c>
      <c r="E639" s="434">
        <v>-993832</v>
      </c>
    </row>
    <row r="640" spans="1:5" ht="15">
      <c r="A640" s="431"/>
      <c r="B640" s="431"/>
      <c r="C640" s="432" t="s">
        <v>550</v>
      </c>
      <c r="D640" s="434">
        <v>496916</v>
      </c>
      <c r="E640" s="434">
        <v>496916</v>
      </c>
    </row>
    <row r="641" spans="1:5" ht="15">
      <c r="A641" s="431"/>
      <c r="B641" s="431"/>
      <c r="C641" s="432" t="s">
        <v>551</v>
      </c>
      <c r="D641" s="434">
        <v>387594</v>
      </c>
      <c r="E641" s="434">
        <v>387594</v>
      </c>
    </row>
    <row r="642" spans="1:5" ht="15">
      <c r="A642" s="431"/>
      <c r="B642" s="431"/>
      <c r="C642" s="432" t="s">
        <v>752</v>
      </c>
      <c r="D642" s="434">
        <v>-746400</v>
      </c>
      <c r="E642" s="434">
        <v>-746400</v>
      </c>
    </row>
    <row r="643" spans="1:5" ht="15">
      <c r="A643" s="431"/>
      <c r="B643" s="431"/>
      <c r="C643" s="431" t="s">
        <v>553</v>
      </c>
      <c r="D643" s="434">
        <v>-4606869</v>
      </c>
      <c r="E643" s="434">
        <v>-4606869</v>
      </c>
    </row>
    <row r="644" spans="1:5" ht="15">
      <c r="A644" s="431"/>
      <c r="B644" s="431"/>
      <c r="C644" s="431" t="s">
        <v>555</v>
      </c>
      <c r="D644" s="434">
        <v>-135861</v>
      </c>
      <c r="E644" s="434">
        <v>-135861</v>
      </c>
    </row>
    <row r="645" spans="1:5" ht="15">
      <c r="A645" s="431"/>
      <c r="B645" s="431"/>
      <c r="C645" s="431" t="s">
        <v>557</v>
      </c>
      <c r="D645" s="434">
        <v>1388034</v>
      </c>
      <c r="E645" s="434">
        <v>1388034</v>
      </c>
    </row>
    <row r="646" spans="1:5" ht="15">
      <c r="A646" s="431"/>
      <c r="B646" s="431"/>
      <c r="C646" s="431" t="s">
        <v>618</v>
      </c>
      <c r="D646" s="434">
        <v>-2776068</v>
      </c>
      <c r="E646" s="434">
        <v>-2776068</v>
      </c>
    </row>
    <row r="647" spans="1:5" ht="15">
      <c r="A647" s="431"/>
      <c r="B647" s="431"/>
      <c r="C647" s="431" t="s">
        <v>559</v>
      </c>
      <c r="D647" s="434">
        <v>1151317</v>
      </c>
      <c r="E647" s="434">
        <v>1151317</v>
      </c>
    </row>
    <row r="648" spans="1:5" ht="15">
      <c r="A648" s="431"/>
      <c r="B648" s="431"/>
      <c r="C648" s="431" t="s">
        <v>753</v>
      </c>
      <c r="D648" s="434">
        <v>-267211</v>
      </c>
      <c r="E648" s="434">
        <v>-267211</v>
      </c>
    </row>
    <row r="649" spans="1:5" ht="15">
      <c r="A649" s="431"/>
      <c r="B649" s="432" t="s">
        <v>464</v>
      </c>
      <c r="C649" s="432"/>
      <c r="D649" s="434">
        <v>-1803743</v>
      </c>
      <c r="E649" s="434">
        <v>-1803743</v>
      </c>
    </row>
    <row r="650" spans="1:5" ht="30">
      <c r="A650" s="435" t="s">
        <v>754</v>
      </c>
      <c r="B650" s="435"/>
      <c r="C650" s="435"/>
      <c r="D650" s="436">
        <v>-1803743</v>
      </c>
      <c r="E650" s="436">
        <v>-1803743</v>
      </c>
    </row>
    <row r="651" spans="1:5" ht="15">
      <c r="A651" s="431" t="s">
        <v>482</v>
      </c>
      <c r="B651" s="433">
        <v>43539</v>
      </c>
      <c r="C651" s="431" t="s">
        <v>755</v>
      </c>
      <c r="D651" s="434">
        <v>6000000</v>
      </c>
      <c r="E651" s="434">
        <v>6000000</v>
      </c>
    </row>
    <row r="652" spans="1:5" ht="30">
      <c r="A652" s="431"/>
      <c r="B652" s="432" t="s">
        <v>527</v>
      </c>
      <c r="C652" s="432"/>
      <c r="D652" s="434">
        <v>6000000</v>
      </c>
      <c r="E652" s="434">
        <v>6000000</v>
      </c>
    </row>
    <row r="653" spans="1:5" ht="15">
      <c r="A653" s="431"/>
      <c r="B653" s="433">
        <v>43587</v>
      </c>
      <c r="C653" s="432" t="s">
        <v>546</v>
      </c>
      <c r="D653" s="434">
        <v>5989536</v>
      </c>
      <c r="E653" s="434">
        <v>5989536</v>
      </c>
    </row>
    <row r="654" spans="1:5" ht="15">
      <c r="A654" s="431"/>
      <c r="B654" s="431"/>
      <c r="C654" s="432" t="s">
        <v>616</v>
      </c>
      <c r="D654" s="434">
        <v>2064297</v>
      </c>
      <c r="E654" s="434">
        <v>2064297</v>
      </c>
    </row>
    <row r="655" spans="1:5" ht="15">
      <c r="A655" s="431"/>
      <c r="B655" s="431"/>
      <c r="C655" s="432" t="s">
        <v>549</v>
      </c>
      <c r="D655" s="434">
        <v>-1894918</v>
      </c>
      <c r="E655" s="434">
        <v>-1894918</v>
      </c>
    </row>
    <row r="656" spans="1:5" ht="15">
      <c r="A656" s="431"/>
      <c r="B656" s="431"/>
      <c r="C656" s="432" t="s">
        <v>550</v>
      </c>
      <c r="D656" s="434">
        <v>947460</v>
      </c>
      <c r="E656" s="434">
        <v>947460</v>
      </c>
    </row>
    <row r="657" spans="1:5" ht="15">
      <c r="A657" s="431"/>
      <c r="B657" s="431"/>
      <c r="C657" s="432" t="s">
        <v>551</v>
      </c>
      <c r="D657" s="434">
        <v>739018</v>
      </c>
      <c r="E657" s="434">
        <v>739018</v>
      </c>
    </row>
    <row r="658" spans="1:5" ht="15">
      <c r="A658" s="431"/>
      <c r="B658" s="431"/>
      <c r="C658" s="431" t="s">
        <v>553</v>
      </c>
      <c r="D658" s="434">
        <v>-3784182</v>
      </c>
      <c r="E658" s="434">
        <v>-3784182</v>
      </c>
    </row>
    <row r="659" spans="1:5" ht="15">
      <c r="A659" s="431"/>
      <c r="B659" s="431"/>
      <c r="C659" s="431" t="s">
        <v>555</v>
      </c>
      <c r="D659" s="434">
        <v>-201472</v>
      </c>
      <c r="E659" s="434">
        <v>-201472</v>
      </c>
    </row>
    <row r="660" spans="1:5" ht="15">
      <c r="A660" s="431"/>
      <c r="B660" s="431"/>
      <c r="C660" s="431" t="s">
        <v>557</v>
      </c>
      <c r="D660" s="434">
        <v>2646535</v>
      </c>
      <c r="E660" s="434">
        <v>2646535</v>
      </c>
    </row>
    <row r="661" spans="1:5" ht="15">
      <c r="A661" s="431"/>
      <c r="B661" s="431"/>
      <c r="C661" s="431" t="s">
        <v>618</v>
      </c>
      <c r="D661" s="434">
        <v>-5293069</v>
      </c>
      <c r="E661" s="434">
        <v>-5293069</v>
      </c>
    </row>
    <row r="662" spans="1:5" ht="15">
      <c r="A662" s="431"/>
      <c r="B662" s="431"/>
      <c r="C662" s="431" t="s">
        <v>672</v>
      </c>
      <c r="D662" s="434">
        <v>2144254</v>
      </c>
      <c r="E662" s="434">
        <v>2144254</v>
      </c>
    </row>
    <row r="663" spans="1:5" ht="15">
      <c r="A663" s="431"/>
      <c r="B663" s="432" t="s">
        <v>464</v>
      </c>
      <c r="C663" s="432"/>
      <c r="D663" s="434">
        <v>3357459</v>
      </c>
      <c r="E663" s="434">
        <v>3357459</v>
      </c>
    </row>
    <row r="664" spans="1:5" ht="15">
      <c r="A664" s="431"/>
      <c r="B664" s="433">
        <v>43589</v>
      </c>
      <c r="C664" s="432" t="s">
        <v>560</v>
      </c>
      <c r="D664" s="434">
        <v>5602500</v>
      </c>
      <c r="E664" s="434">
        <v>0</v>
      </c>
    </row>
    <row r="665" spans="1:5" ht="15">
      <c r="A665" s="431"/>
      <c r="B665" s="432" t="s">
        <v>435</v>
      </c>
      <c r="C665" s="432"/>
      <c r="D665" s="434">
        <v>5602500</v>
      </c>
      <c r="E665" s="434">
        <v>0</v>
      </c>
    </row>
    <row r="666" spans="1:5" ht="30">
      <c r="A666" s="435" t="s">
        <v>484</v>
      </c>
      <c r="B666" s="435"/>
      <c r="C666" s="435"/>
      <c r="D666" s="436">
        <v>14959959</v>
      </c>
      <c r="E666" s="436">
        <v>9357459</v>
      </c>
    </row>
    <row r="667" spans="1:5" ht="15">
      <c r="A667" s="431" t="s">
        <v>485</v>
      </c>
      <c r="B667" s="433">
        <v>43539</v>
      </c>
      <c r="C667" s="432" t="s">
        <v>756</v>
      </c>
      <c r="D667" s="434">
        <v>-60000</v>
      </c>
      <c r="E667" s="434">
        <v>-60000</v>
      </c>
    </row>
    <row r="668" spans="1:5" ht="30">
      <c r="A668" s="431"/>
      <c r="B668" s="432" t="s">
        <v>527</v>
      </c>
      <c r="C668" s="432"/>
      <c r="D668" s="434">
        <v>-60000</v>
      </c>
      <c r="E668" s="434">
        <v>-60000</v>
      </c>
    </row>
    <row r="669" spans="1:5" ht="15">
      <c r="A669" s="431"/>
      <c r="B669" s="433">
        <v>43587</v>
      </c>
      <c r="C669" s="432" t="s">
        <v>546</v>
      </c>
      <c r="D669" s="434">
        <v>11492964</v>
      </c>
      <c r="E669" s="434">
        <v>11492964</v>
      </c>
    </row>
    <row r="670" spans="1:5" ht="15">
      <c r="A670" s="431"/>
      <c r="B670" s="431"/>
      <c r="C670" s="432" t="s">
        <v>616</v>
      </c>
      <c r="D670" s="434">
        <v>12017487</v>
      </c>
      <c r="E670" s="434">
        <v>12017487</v>
      </c>
    </row>
    <row r="671" spans="1:5" ht="15">
      <c r="A671" s="431"/>
      <c r="B671" s="431"/>
      <c r="C671" s="432" t="s">
        <v>549</v>
      </c>
      <c r="D671" s="434">
        <v>-11031436</v>
      </c>
      <c r="E671" s="434">
        <v>-11031436</v>
      </c>
    </row>
    <row r="672" spans="1:5" ht="15">
      <c r="A672" s="431"/>
      <c r="B672" s="431"/>
      <c r="C672" s="432" t="s">
        <v>550</v>
      </c>
      <c r="D672" s="434">
        <v>5515719</v>
      </c>
      <c r="E672" s="434">
        <v>5515719</v>
      </c>
    </row>
    <row r="673" spans="1:5" ht="15">
      <c r="A673" s="431"/>
      <c r="B673" s="431"/>
      <c r="C673" s="432" t="s">
        <v>551</v>
      </c>
      <c r="D673" s="434">
        <v>4302261</v>
      </c>
      <c r="E673" s="434">
        <v>4302261</v>
      </c>
    </row>
    <row r="674" spans="1:5" ht="15">
      <c r="A674" s="431"/>
      <c r="B674" s="431"/>
      <c r="C674" s="431" t="s">
        <v>628</v>
      </c>
      <c r="D674" s="434">
        <v>-50693</v>
      </c>
      <c r="E674" s="434">
        <v>-50693</v>
      </c>
    </row>
    <row r="675" spans="1:5" ht="15">
      <c r="A675" s="431"/>
      <c r="B675" s="431"/>
      <c r="C675" s="432" t="s">
        <v>752</v>
      </c>
      <c r="D675" s="434">
        <v>-141600</v>
      </c>
      <c r="E675" s="434">
        <v>-141600</v>
      </c>
    </row>
    <row r="676" spans="1:5" ht="15">
      <c r="A676" s="431"/>
      <c r="B676" s="431"/>
      <c r="C676" s="431" t="s">
        <v>553</v>
      </c>
      <c r="D676" s="434">
        <v>-16749571</v>
      </c>
      <c r="E676" s="434">
        <v>-16749571</v>
      </c>
    </row>
    <row r="677" spans="1:5" ht="15">
      <c r="A677" s="431"/>
      <c r="B677" s="431"/>
      <c r="C677" s="431" t="s">
        <v>555</v>
      </c>
      <c r="D677" s="434">
        <v>-1214802</v>
      </c>
      <c r="E677" s="434">
        <v>-1264802</v>
      </c>
    </row>
    <row r="678" spans="1:5" ht="15">
      <c r="A678" s="431"/>
      <c r="B678" s="431"/>
      <c r="C678" s="431" t="s">
        <v>557</v>
      </c>
      <c r="D678" s="434">
        <v>15407035</v>
      </c>
      <c r="E678" s="434">
        <v>15407035</v>
      </c>
    </row>
    <row r="679" spans="1:5" ht="15">
      <c r="A679" s="431"/>
      <c r="B679" s="431"/>
      <c r="C679" s="431" t="s">
        <v>618</v>
      </c>
      <c r="D679" s="434">
        <v>-30814069</v>
      </c>
      <c r="E679" s="434">
        <v>-30814069</v>
      </c>
    </row>
    <row r="680" spans="1:5" ht="15">
      <c r="A680" s="431"/>
      <c r="B680" s="431"/>
      <c r="C680" s="431" t="s">
        <v>672</v>
      </c>
      <c r="D680" s="434">
        <v>4114481</v>
      </c>
      <c r="E680" s="434">
        <v>4114481</v>
      </c>
    </row>
    <row r="681" spans="1:5" ht="15">
      <c r="A681" s="431"/>
      <c r="B681" s="432" t="s">
        <v>464</v>
      </c>
      <c r="C681" s="432"/>
      <c r="D681" s="434">
        <v>-7152224</v>
      </c>
      <c r="E681" s="434">
        <v>-7202224</v>
      </c>
    </row>
    <row r="682" spans="1:5" ht="15">
      <c r="A682" s="431"/>
      <c r="B682" s="433">
        <v>43589</v>
      </c>
      <c r="C682" s="432" t="s">
        <v>560</v>
      </c>
      <c r="D682" s="434">
        <v>17685742</v>
      </c>
      <c r="E682" s="434">
        <v>0</v>
      </c>
    </row>
    <row r="683" spans="1:5" ht="15">
      <c r="A683" s="431"/>
      <c r="B683" s="432" t="s">
        <v>435</v>
      </c>
      <c r="C683" s="432"/>
      <c r="D683" s="434">
        <v>17685742</v>
      </c>
      <c r="E683" s="434">
        <v>0</v>
      </c>
    </row>
    <row r="684" spans="1:5" ht="30">
      <c r="A684" s="435" t="s">
        <v>487</v>
      </c>
      <c r="B684" s="435"/>
      <c r="C684" s="435"/>
      <c r="D684" s="436">
        <v>10473518</v>
      </c>
      <c r="E684" s="436">
        <v>-7262224</v>
      </c>
    </row>
    <row r="685" spans="1:5" ht="15">
      <c r="A685" s="431" t="s">
        <v>488</v>
      </c>
      <c r="B685" s="433">
        <v>43587</v>
      </c>
      <c r="C685" s="432" t="s">
        <v>546</v>
      </c>
      <c r="D685" s="434">
        <v>34266696</v>
      </c>
      <c r="E685" s="434">
        <v>34266696</v>
      </c>
    </row>
    <row r="686" spans="1:5" ht="15">
      <c r="A686" s="431"/>
      <c r="B686" s="431"/>
      <c r="C686" s="432" t="s">
        <v>757</v>
      </c>
      <c r="D686" s="434">
        <v>-100615177</v>
      </c>
      <c r="E686" s="434">
        <v>-100615177</v>
      </c>
    </row>
    <row r="687" spans="1:5" ht="15">
      <c r="A687" s="431"/>
      <c r="B687" s="431"/>
      <c r="C687" s="432" t="s">
        <v>758</v>
      </c>
      <c r="D687" s="434">
        <v>50307591</v>
      </c>
      <c r="E687" s="434">
        <v>50307591</v>
      </c>
    </row>
    <row r="688" spans="1:5" ht="15">
      <c r="A688" s="431"/>
      <c r="B688" s="431"/>
      <c r="C688" s="432" t="s">
        <v>616</v>
      </c>
      <c r="D688" s="434">
        <v>39239918</v>
      </c>
      <c r="E688" s="434">
        <v>39239918</v>
      </c>
    </row>
    <row r="689" spans="1:5" ht="15">
      <c r="A689" s="431"/>
      <c r="B689" s="431"/>
      <c r="C689" s="432" t="s">
        <v>549</v>
      </c>
      <c r="D689" s="434">
        <v>-36020234</v>
      </c>
      <c r="E689" s="434">
        <v>-36020234</v>
      </c>
    </row>
    <row r="690" spans="1:5" ht="15">
      <c r="A690" s="431"/>
      <c r="B690" s="431"/>
      <c r="C690" s="432" t="s">
        <v>550</v>
      </c>
      <c r="D690" s="434">
        <v>18010118</v>
      </c>
      <c r="E690" s="434">
        <v>18010118</v>
      </c>
    </row>
    <row r="691" spans="1:5" ht="15">
      <c r="A691" s="431"/>
      <c r="B691" s="431"/>
      <c r="C691" s="432" t="s">
        <v>551</v>
      </c>
      <c r="D691" s="434">
        <v>14047890</v>
      </c>
      <c r="E691" s="434">
        <v>14047890</v>
      </c>
    </row>
    <row r="692" spans="1:5" ht="15">
      <c r="A692" s="431"/>
      <c r="B692" s="431"/>
      <c r="C692" s="431" t="s">
        <v>553</v>
      </c>
      <c r="D692" s="434">
        <v>-59776795</v>
      </c>
      <c r="E692" s="434">
        <v>-59776795</v>
      </c>
    </row>
    <row r="693" spans="1:5" ht="15">
      <c r="A693" s="431"/>
      <c r="B693" s="431"/>
      <c r="C693" s="431" t="s">
        <v>555</v>
      </c>
      <c r="D693" s="434">
        <v>-3961208</v>
      </c>
      <c r="E693" s="434">
        <v>-3961208</v>
      </c>
    </row>
    <row r="694" spans="1:5" ht="15">
      <c r="A694" s="431"/>
      <c r="B694" s="431"/>
      <c r="C694" s="431" t="s">
        <v>559</v>
      </c>
      <c r="D694" s="434">
        <v>12267477</v>
      </c>
      <c r="E694" s="434">
        <v>12267477</v>
      </c>
    </row>
    <row r="695" spans="1:5" ht="15">
      <c r="A695" s="431"/>
      <c r="B695" s="432" t="s">
        <v>464</v>
      </c>
      <c r="C695" s="432"/>
      <c r="D695" s="434">
        <v>-32233724</v>
      </c>
      <c r="E695" s="434">
        <v>-32233724</v>
      </c>
    </row>
    <row r="696" spans="1:5" ht="15">
      <c r="A696" s="431"/>
      <c r="B696" s="433">
        <v>43589</v>
      </c>
      <c r="C696" s="432" t="s">
        <v>560</v>
      </c>
      <c r="D696" s="434">
        <v>9939681</v>
      </c>
      <c r="E696" s="434">
        <v>0</v>
      </c>
    </row>
    <row r="697" spans="1:5" ht="15">
      <c r="A697" s="431"/>
      <c r="B697" s="432" t="s">
        <v>435</v>
      </c>
      <c r="C697" s="432"/>
      <c r="D697" s="434">
        <v>9939681</v>
      </c>
      <c r="E697" s="434">
        <v>0</v>
      </c>
    </row>
    <row r="698" spans="1:5" ht="30">
      <c r="A698" s="435" t="s">
        <v>490</v>
      </c>
      <c r="B698" s="435"/>
      <c r="C698" s="435"/>
      <c r="D698" s="436">
        <v>-22294043</v>
      </c>
      <c r="E698" s="436">
        <v>-32233724</v>
      </c>
    </row>
    <row r="699" spans="1:5" ht="15">
      <c r="A699" s="431" t="s">
        <v>491</v>
      </c>
      <c r="B699" s="433">
        <v>43587</v>
      </c>
      <c r="C699" s="432" t="s">
        <v>546</v>
      </c>
      <c r="D699" s="434">
        <v>0</v>
      </c>
      <c r="E699" s="434">
        <v>0</v>
      </c>
    </row>
    <row r="700" spans="1:5" ht="15">
      <c r="A700" s="431"/>
      <c r="B700" s="431"/>
      <c r="C700" s="432" t="s">
        <v>616</v>
      </c>
      <c r="D700" s="434">
        <v>2088175</v>
      </c>
      <c r="E700" s="434">
        <v>2088175</v>
      </c>
    </row>
    <row r="701" spans="1:5" ht="15">
      <c r="A701" s="431"/>
      <c r="B701" s="431"/>
      <c r="C701" s="432" t="s">
        <v>549</v>
      </c>
      <c r="D701" s="434">
        <v>-1916837</v>
      </c>
      <c r="E701" s="434">
        <v>-1916837</v>
      </c>
    </row>
    <row r="702" spans="1:5" ht="15">
      <c r="A702" s="431"/>
      <c r="B702" s="431"/>
      <c r="C702" s="432" t="s">
        <v>550</v>
      </c>
      <c r="D702" s="434">
        <v>958419</v>
      </c>
      <c r="E702" s="434">
        <v>958419</v>
      </c>
    </row>
    <row r="703" spans="1:5" ht="15">
      <c r="A703" s="431"/>
      <c r="B703" s="431"/>
      <c r="C703" s="432" t="s">
        <v>551</v>
      </c>
      <c r="D703" s="434">
        <v>747567</v>
      </c>
      <c r="E703" s="434">
        <v>747567</v>
      </c>
    </row>
    <row r="704" spans="1:5" ht="15">
      <c r="A704" s="431"/>
      <c r="B704" s="431"/>
      <c r="C704" s="431" t="s">
        <v>553</v>
      </c>
      <c r="D704" s="434">
        <v>-1790961</v>
      </c>
      <c r="E704" s="434">
        <v>-1790961</v>
      </c>
    </row>
    <row r="705" spans="1:5" ht="15">
      <c r="A705" s="431"/>
      <c r="B705" s="431"/>
      <c r="C705" s="431" t="s">
        <v>555</v>
      </c>
      <c r="D705" s="434">
        <v>-214359</v>
      </c>
      <c r="E705" s="434">
        <v>-214359</v>
      </c>
    </row>
    <row r="706" spans="1:5" ht="15">
      <c r="A706" s="431"/>
      <c r="B706" s="431"/>
      <c r="C706" s="431" t="s">
        <v>557</v>
      </c>
      <c r="D706" s="434">
        <v>2677148</v>
      </c>
      <c r="E706" s="434">
        <v>2677148</v>
      </c>
    </row>
    <row r="707" spans="1:5" ht="15">
      <c r="A707" s="431"/>
      <c r="B707" s="431"/>
      <c r="C707" s="431" t="s">
        <v>618</v>
      </c>
      <c r="D707" s="434">
        <v>-5354294</v>
      </c>
      <c r="E707" s="434">
        <v>-5354294</v>
      </c>
    </row>
    <row r="708" spans="1:5" ht="15">
      <c r="A708" s="431"/>
      <c r="B708" s="431"/>
      <c r="C708" s="431" t="s">
        <v>672</v>
      </c>
      <c r="D708" s="434">
        <v>0</v>
      </c>
      <c r="E708" s="434">
        <v>0</v>
      </c>
    </row>
    <row r="709" spans="1:5" ht="15">
      <c r="A709" s="431"/>
      <c r="B709" s="432" t="s">
        <v>464</v>
      </c>
      <c r="C709" s="432"/>
      <c r="D709" s="434">
        <v>-2805142</v>
      </c>
      <c r="E709" s="434">
        <v>-2805142</v>
      </c>
    </row>
    <row r="710" spans="1:5" ht="15">
      <c r="A710" s="431"/>
      <c r="B710" s="433">
        <v>43589</v>
      </c>
      <c r="C710" s="432" t="s">
        <v>560</v>
      </c>
      <c r="D710" s="434">
        <v>0</v>
      </c>
      <c r="E710" s="434">
        <v>0</v>
      </c>
    </row>
    <row r="711" spans="1:5" ht="15">
      <c r="A711" s="431"/>
      <c r="B711" s="432" t="s">
        <v>435</v>
      </c>
      <c r="C711" s="432"/>
      <c r="D711" s="434">
        <v>0</v>
      </c>
      <c r="E711" s="434">
        <v>0</v>
      </c>
    </row>
    <row r="712" spans="1:5" ht="30">
      <c r="A712" s="435" t="s">
        <v>492</v>
      </c>
      <c r="B712" s="435"/>
      <c r="C712" s="435"/>
      <c r="D712" s="436">
        <v>-2805142</v>
      </c>
      <c r="E712" s="436">
        <v>-2805142</v>
      </c>
    </row>
    <row r="713" spans="1:5" ht="15">
      <c r="A713" s="431" t="s">
        <v>493</v>
      </c>
      <c r="B713" s="433">
        <v>43587</v>
      </c>
      <c r="C713" s="432" t="s">
        <v>546</v>
      </c>
      <c r="D713" s="434">
        <v>7664196</v>
      </c>
      <c r="E713" s="434">
        <v>7664196</v>
      </c>
    </row>
    <row r="714" spans="1:5" ht="15">
      <c r="A714" s="431"/>
      <c r="B714" s="431"/>
      <c r="C714" s="432" t="s">
        <v>616</v>
      </c>
      <c r="D714" s="434">
        <v>3274901</v>
      </c>
      <c r="E714" s="434">
        <v>3274901</v>
      </c>
    </row>
    <row r="715" spans="1:5" ht="15">
      <c r="A715" s="431"/>
      <c r="B715" s="431"/>
      <c r="C715" s="432" t="s">
        <v>549</v>
      </c>
      <c r="D715" s="434">
        <v>-3006191</v>
      </c>
      <c r="E715" s="434">
        <v>-3006191</v>
      </c>
    </row>
    <row r="716" spans="1:5" ht="15">
      <c r="A716" s="431"/>
      <c r="B716" s="431"/>
      <c r="C716" s="432" t="s">
        <v>550</v>
      </c>
      <c r="D716" s="434">
        <v>1503096</v>
      </c>
      <c r="E716" s="434">
        <v>1503096</v>
      </c>
    </row>
    <row r="717" spans="1:5" ht="15">
      <c r="A717" s="431"/>
      <c r="B717" s="431"/>
      <c r="C717" s="432" t="s">
        <v>551</v>
      </c>
      <c r="D717" s="434">
        <v>1172415</v>
      </c>
      <c r="E717" s="434">
        <v>1172415</v>
      </c>
    </row>
    <row r="718" spans="1:5" ht="15">
      <c r="A718" s="431"/>
      <c r="B718" s="431"/>
      <c r="C718" s="432" t="s">
        <v>752</v>
      </c>
      <c r="D718" s="434">
        <v>-487200</v>
      </c>
      <c r="E718" s="434">
        <v>-487200</v>
      </c>
    </row>
    <row r="719" spans="1:5" ht="15">
      <c r="A719" s="431"/>
      <c r="B719" s="431"/>
      <c r="C719" s="432" t="s">
        <v>759</v>
      </c>
      <c r="D719" s="434">
        <v>0</v>
      </c>
      <c r="E719" s="434">
        <v>0</v>
      </c>
    </row>
    <row r="720" spans="1:5" ht="15">
      <c r="A720" s="431"/>
      <c r="B720" s="431"/>
      <c r="C720" s="432" t="s">
        <v>760</v>
      </c>
      <c r="D720" s="434">
        <v>0</v>
      </c>
      <c r="E720" s="434">
        <v>0</v>
      </c>
    </row>
    <row r="721" spans="1:5" ht="15">
      <c r="A721" s="431"/>
      <c r="B721" s="431"/>
      <c r="C721" s="431" t="s">
        <v>553</v>
      </c>
      <c r="D721" s="434">
        <v>-4743407</v>
      </c>
      <c r="E721" s="434">
        <v>-4743407</v>
      </c>
    </row>
    <row r="722" spans="1:5" ht="15">
      <c r="A722" s="431"/>
      <c r="B722" s="431"/>
      <c r="C722" s="431" t="s">
        <v>555</v>
      </c>
      <c r="D722" s="434">
        <v>-343125</v>
      </c>
      <c r="E722" s="434">
        <v>-343125</v>
      </c>
    </row>
    <row r="723" spans="1:5" ht="15">
      <c r="A723" s="431"/>
      <c r="B723" s="431"/>
      <c r="C723" s="431" t="s">
        <v>557</v>
      </c>
      <c r="D723" s="434">
        <v>4198591</v>
      </c>
      <c r="E723" s="434">
        <v>4198591</v>
      </c>
    </row>
    <row r="724" spans="1:5" ht="15">
      <c r="A724" s="431"/>
      <c r="B724" s="431"/>
      <c r="C724" s="431" t="s">
        <v>618</v>
      </c>
      <c r="D724" s="434">
        <v>-8397181</v>
      </c>
      <c r="E724" s="434">
        <v>-8397181</v>
      </c>
    </row>
    <row r="725" spans="1:5" ht="15">
      <c r="A725" s="431"/>
      <c r="B725" s="431"/>
      <c r="C725" s="431" t="s">
        <v>559</v>
      </c>
      <c r="D725" s="434">
        <v>2743782</v>
      </c>
      <c r="E725" s="434">
        <v>2743782</v>
      </c>
    </row>
    <row r="726" spans="1:5" ht="15">
      <c r="A726" s="431"/>
      <c r="B726" s="431"/>
      <c r="C726" s="431" t="s">
        <v>761</v>
      </c>
      <c r="D726" s="434">
        <v>-174418</v>
      </c>
      <c r="E726" s="434">
        <v>-174418</v>
      </c>
    </row>
    <row r="727" spans="1:5" ht="15">
      <c r="A727" s="431"/>
      <c r="B727" s="432" t="s">
        <v>464</v>
      </c>
      <c r="C727" s="432"/>
      <c r="D727" s="434">
        <v>3405459</v>
      </c>
      <c r="E727" s="434">
        <v>3405459</v>
      </c>
    </row>
    <row r="728" spans="1:5" ht="30">
      <c r="A728" s="435" t="s">
        <v>494</v>
      </c>
      <c r="B728" s="435"/>
      <c r="C728" s="435"/>
      <c r="D728" s="436">
        <v>3405459</v>
      </c>
      <c r="E728" s="436">
        <v>3405459</v>
      </c>
    </row>
    <row r="729" spans="1:5" ht="15">
      <c r="A729" s="431" t="s">
        <v>762</v>
      </c>
      <c r="B729" s="433">
        <v>43587</v>
      </c>
      <c r="C729" s="432" t="s">
        <v>546</v>
      </c>
      <c r="D729" s="434">
        <v>5982084</v>
      </c>
      <c r="E729" s="434">
        <v>5982084</v>
      </c>
    </row>
    <row r="730" spans="1:5" ht="15">
      <c r="A730" s="431"/>
      <c r="B730" s="431"/>
      <c r="C730" s="432" t="s">
        <v>757</v>
      </c>
      <c r="D730" s="434">
        <v>-6643769</v>
      </c>
      <c r="E730" s="434">
        <v>-6643769</v>
      </c>
    </row>
    <row r="731" spans="1:5" ht="15">
      <c r="A731" s="431"/>
      <c r="B731" s="431"/>
      <c r="C731" s="432" t="s">
        <v>758</v>
      </c>
      <c r="D731" s="434">
        <v>3321885</v>
      </c>
      <c r="E731" s="434">
        <v>3321885</v>
      </c>
    </row>
    <row r="732" spans="1:5" ht="15">
      <c r="A732" s="431"/>
      <c r="B732" s="431"/>
      <c r="C732" s="432" t="s">
        <v>616</v>
      </c>
      <c r="D732" s="434">
        <v>2591070</v>
      </c>
      <c r="E732" s="434">
        <v>2591070</v>
      </c>
    </row>
    <row r="733" spans="1:5" ht="15">
      <c r="A733" s="431"/>
      <c r="B733" s="431"/>
      <c r="C733" s="432" t="s">
        <v>549</v>
      </c>
      <c r="D733" s="434">
        <v>-2378469</v>
      </c>
      <c r="E733" s="434">
        <v>-2378469</v>
      </c>
    </row>
    <row r="734" spans="1:5" ht="15">
      <c r="A734" s="431"/>
      <c r="B734" s="431"/>
      <c r="C734" s="432" t="s">
        <v>550</v>
      </c>
      <c r="D734" s="434">
        <v>1189235</v>
      </c>
      <c r="E734" s="434">
        <v>1189235</v>
      </c>
    </row>
    <row r="735" spans="1:5" ht="15">
      <c r="A735" s="431"/>
      <c r="B735" s="431"/>
      <c r="C735" s="432" t="s">
        <v>551</v>
      </c>
      <c r="D735" s="434">
        <v>927603</v>
      </c>
      <c r="E735" s="434">
        <v>927603</v>
      </c>
    </row>
    <row r="736" spans="1:5" ht="15">
      <c r="A736" s="431"/>
      <c r="B736" s="431"/>
      <c r="C736" s="432" t="s">
        <v>752</v>
      </c>
      <c r="D736" s="434">
        <v>-490800</v>
      </c>
      <c r="E736" s="434">
        <v>-490800</v>
      </c>
    </row>
    <row r="737" spans="1:5" ht="15">
      <c r="A737" s="431"/>
      <c r="B737" s="431"/>
      <c r="C737" s="431" t="s">
        <v>553</v>
      </c>
      <c r="D737" s="434">
        <v>-4871943</v>
      </c>
      <c r="E737" s="434">
        <v>-4871943</v>
      </c>
    </row>
    <row r="738" spans="1:5" ht="15">
      <c r="A738" s="431"/>
      <c r="B738" s="431"/>
      <c r="C738" s="431" t="s">
        <v>555</v>
      </c>
      <c r="D738" s="434">
        <v>-275935</v>
      </c>
      <c r="E738" s="434">
        <v>-275935</v>
      </c>
    </row>
    <row r="739" spans="1:5" ht="15">
      <c r="A739" s="431"/>
      <c r="B739" s="431"/>
      <c r="C739" s="431" t="s">
        <v>672</v>
      </c>
      <c r="D739" s="434">
        <v>2141586</v>
      </c>
      <c r="E739" s="434">
        <v>2141586</v>
      </c>
    </row>
    <row r="740" spans="1:5" ht="15">
      <c r="A740" s="431"/>
      <c r="B740" s="431"/>
      <c r="C740" s="431" t="s">
        <v>753</v>
      </c>
      <c r="D740" s="434">
        <v>-175706</v>
      </c>
      <c r="E740" s="434">
        <v>-175706</v>
      </c>
    </row>
    <row r="741" spans="1:5" ht="15">
      <c r="A741" s="431"/>
      <c r="B741" s="432" t="s">
        <v>464</v>
      </c>
      <c r="C741" s="432"/>
      <c r="D741" s="434">
        <v>1316841</v>
      </c>
      <c r="E741" s="434">
        <v>1316841</v>
      </c>
    </row>
    <row r="742" spans="1:5" ht="30">
      <c r="A742" s="435" t="s">
        <v>763</v>
      </c>
      <c r="B742" s="435"/>
      <c r="C742" s="435"/>
      <c r="D742" s="436">
        <v>1316841</v>
      </c>
      <c r="E742" s="436">
        <v>1316841</v>
      </c>
    </row>
    <row r="743" spans="1:5" ht="15">
      <c r="A743" s="431" t="s">
        <v>495</v>
      </c>
      <c r="B743" s="433">
        <v>43587</v>
      </c>
      <c r="C743" s="432" t="s">
        <v>546</v>
      </c>
      <c r="D743" s="434">
        <v>2409180</v>
      </c>
      <c r="E743" s="434">
        <v>2409180</v>
      </c>
    </row>
    <row r="744" spans="1:5" ht="15">
      <c r="A744" s="431"/>
      <c r="B744" s="431"/>
      <c r="C744" s="432" t="s">
        <v>616</v>
      </c>
      <c r="D744" s="434">
        <v>2062751</v>
      </c>
      <c r="E744" s="434">
        <v>2062751</v>
      </c>
    </row>
    <row r="745" spans="1:5" ht="15">
      <c r="A745" s="431"/>
      <c r="B745" s="431"/>
      <c r="C745" s="431" t="s">
        <v>548</v>
      </c>
      <c r="D745" s="434">
        <v>-61246</v>
      </c>
      <c r="E745" s="434">
        <v>-61246</v>
      </c>
    </row>
    <row r="746" spans="1:5" ht="15">
      <c r="A746" s="431"/>
      <c r="B746" s="431"/>
      <c r="C746" s="432" t="s">
        <v>549</v>
      </c>
      <c r="D746" s="434">
        <v>-1893500</v>
      </c>
      <c r="E746" s="434">
        <v>-1893500</v>
      </c>
    </row>
    <row r="747" spans="1:5" ht="15">
      <c r="A747" s="431"/>
      <c r="B747" s="431"/>
      <c r="C747" s="432" t="s">
        <v>550</v>
      </c>
      <c r="D747" s="434">
        <v>946750</v>
      </c>
      <c r="E747" s="434">
        <v>946750</v>
      </c>
    </row>
    <row r="748" spans="1:5" ht="15">
      <c r="A748" s="431"/>
      <c r="B748" s="431"/>
      <c r="C748" s="432" t="s">
        <v>551</v>
      </c>
      <c r="D748" s="434">
        <v>738465</v>
      </c>
      <c r="E748" s="434">
        <v>738465</v>
      </c>
    </row>
    <row r="749" spans="1:5" ht="15">
      <c r="A749" s="431"/>
      <c r="B749" s="431"/>
      <c r="C749" s="432" t="s">
        <v>764</v>
      </c>
      <c r="D749" s="434">
        <v>-181200</v>
      </c>
      <c r="E749" s="434">
        <v>-181200</v>
      </c>
    </row>
    <row r="750" spans="1:5" ht="15">
      <c r="A750" s="431"/>
      <c r="B750" s="431"/>
      <c r="C750" s="431" t="s">
        <v>553</v>
      </c>
      <c r="D750" s="434">
        <v>-3108879</v>
      </c>
      <c r="E750" s="434">
        <v>-3108879</v>
      </c>
    </row>
    <row r="751" spans="1:5" ht="15">
      <c r="A751" s="431"/>
      <c r="B751" s="431"/>
      <c r="C751" s="431" t="s">
        <v>555</v>
      </c>
      <c r="D751" s="434">
        <v>-214190</v>
      </c>
      <c r="E751" s="434">
        <v>-214190</v>
      </c>
    </row>
    <row r="752" spans="1:5" ht="15">
      <c r="A752" s="431"/>
      <c r="B752" s="431"/>
      <c r="C752" s="431" t="s">
        <v>557</v>
      </c>
      <c r="D752" s="434">
        <v>2644554</v>
      </c>
      <c r="E752" s="434">
        <v>2644554</v>
      </c>
    </row>
    <row r="753" spans="1:5" ht="15">
      <c r="A753" s="431"/>
      <c r="B753" s="431"/>
      <c r="C753" s="431" t="s">
        <v>618</v>
      </c>
      <c r="D753" s="434">
        <v>-5289106</v>
      </c>
      <c r="E753" s="434">
        <v>-5289106</v>
      </c>
    </row>
    <row r="754" spans="1:5" ht="15">
      <c r="A754" s="431"/>
      <c r="B754" s="431"/>
      <c r="C754" s="431" t="s">
        <v>672</v>
      </c>
      <c r="D754" s="434">
        <v>862487</v>
      </c>
      <c r="E754" s="434">
        <v>862487</v>
      </c>
    </row>
    <row r="755" spans="1:5" ht="15">
      <c r="A755" s="431"/>
      <c r="B755" s="432" t="s">
        <v>464</v>
      </c>
      <c r="C755" s="432"/>
      <c r="D755" s="434">
        <v>-1083934</v>
      </c>
      <c r="E755" s="434">
        <v>-1083934</v>
      </c>
    </row>
    <row r="756" spans="1:5" ht="15">
      <c r="A756" s="431"/>
      <c r="B756" s="433">
        <v>43589</v>
      </c>
      <c r="C756" s="432" t="s">
        <v>560</v>
      </c>
      <c r="D756" s="434">
        <v>3990827</v>
      </c>
      <c r="E756" s="434">
        <v>0</v>
      </c>
    </row>
    <row r="757" spans="1:5" ht="15">
      <c r="A757" s="431"/>
      <c r="B757" s="432" t="s">
        <v>435</v>
      </c>
      <c r="C757" s="432"/>
      <c r="D757" s="434">
        <v>3990827</v>
      </c>
      <c r="E757" s="434">
        <v>0</v>
      </c>
    </row>
    <row r="758" spans="1:5" ht="30">
      <c r="A758" s="435" t="s">
        <v>496</v>
      </c>
      <c r="B758" s="435"/>
      <c r="C758" s="435"/>
      <c r="D758" s="436">
        <v>2906893</v>
      </c>
      <c r="E758" s="436">
        <v>-1083934</v>
      </c>
    </row>
    <row r="759" spans="1:5" ht="15">
      <c r="A759" s="431" t="s">
        <v>765</v>
      </c>
      <c r="B759" s="433">
        <v>43480</v>
      </c>
      <c r="C759" s="432" t="s">
        <v>518</v>
      </c>
      <c r="D759" s="434">
        <v>4876662</v>
      </c>
      <c r="E759" s="434">
        <v>4876662</v>
      </c>
    </row>
    <row r="760" spans="1:5" ht="15">
      <c r="A760" s="431"/>
      <c r="B760" s="431"/>
      <c r="C760" s="432" t="s">
        <v>519</v>
      </c>
      <c r="D760" s="434">
        <v>1520400</v>
      </c>
      <c r="E760" s="434">
        <v>1520400</v>
      </c>
    </row>
    <row r="761" spans="1:5" ht="15">
      <c r="A761" s="431"/>
      <c r="B761" s="431"/>
      <c r="C761" s="432" t="s">
        <v>520</v>
      </c>
      <c r="D761" s="434">
        <v>2302942</v>
      </c>
      <c r="E761" s="434">
        <v>2302942</v>
      </c>
    </row>
    <row r="762" spans="1:5" ht="15">
      <c r="A762" s="431"/>
      <c r="B762" s="431"/>
      <c r="C762" s="431" t="s">
        <v>523</v>
      </c>
      <c r="D762" s="434">
        <v>218400</v>
      </c>
      <c r="E762" s="434">
        <v>218400</v>
      </c>
    </row>
    <row r="763" spans="1:6" ht="30">
      <c r="A763" s="431"/>
      <c r="B763" s="432" t="s">
        <v>524</v>
      </c>
      <c r="C763" s="432"/>
      <c r="D763" s="434">
        <v>8918404</v>
      </c>
      <c r="E763" s="434">
        <v>8918404</v>
      </c>
      <c r="F763" s="543"/>
    </row>
    <row r="764" spans="1:5" ht="15">
      <c r="A764" s="431"/>
      <c r="B764" s="433">
        <v>43539</v>
      </c>
      <c r="C764" s="432" t="s">
        <v>525</v>
      </c>
      <c r="D764" s="434">
        <v>-222761</v>
      </c>
      <c r="E764" s="434">
        <v>-222761</v>
      </c>
    </row>
    <row r="765" spans="1:5" ht="15">
      <c r="A765" s="431"/>
      <c r="B765" s="431"/>
      <c r="C765" s="432" t="s">
        <v>766</v>
      </c>
      <c r="D765" s="434">
        <v>-1200000</v>
      </c>
      <c r="E765" s="434"/>
    </row>
    <row r="766" spans="1:5" ht="30">
      <c r="A766" s="431"/>
      <c r="B766" s="432" t="s">
        <v>527</v>
      </c>
      <c r="C766" s="432"/>
      <c r="D766" s="434">
        <v>-1422761</v>
      </c>
      <c r="E766" s="434">
        <v>-222761</v>
      </c>
    </row>
    <row r="767" spans="1:5" ht="15">
      <c r="A767" s="435" t="s">
        <v>767</v>
      </c>
      <c r="B767" s="435"/>
      <c r="C767" s="435"/>
      <c r="D767" s="436">
        <v>7495643</v>
      </c>
      <c r="E767" s="436">
        <v>8695643</v>
      </c>
    </row>
    <row r="768" spans="1:5" ht="15">
      <c r="A768" s="431" t="s">
        <v>768</v>
      </c>
      <c r="B768" s="433">
        <v>43480</v>
      </c>
      <c r="C768" s="432" t="s">
        <v>518</v>
      </c>
      <c r="D768" s="434">
        <v>486193</v>
      </c>
      <c r="E768" s="434">
        <v>486193</v>
      </c>
    </row>
    <row r="769" spans="1:5" ht="15">
      <c r="A769" s="431"/>
      <c r="B769" s="431"/>
      <c r="C769" s="432" t="s">
        <v>519</v>
      </c>
      <c r="D769" s="434">
        <v>338400</v>
      </c>
      <c r="E769" s="434">
        <v>338400</v>
      </c>
    </row>
    <row r="770" spans="1:5" ht="15">
      <c r="A770" s="431"/>
      <c r="B770" s="431"/>
      <c r="C770" s="432" t="s">
        <v>520</v>
      </c>
      <c r="D770" s="434">
        <v>290086</v>
      </c>
      <c r="E770" s="434">
        <v>290086</v>
      </c>
    </row>
    <row r="771" spans="1:5" ht="15">
      <c r="A771" s="431"/>
      <c r="B771" s="431"/>
      <c r="C771" s="431" t="s">
        <v>523</v>
      </c>
      <c r="D771" s="434">
        <v>60100</v>
      </c>
      <c r="E771" s="434">
        <v>60100</v>
      </c>
    </row>
    <row r="772" spans="1:5" ht="30">
      <c r="A772" s="431"/>
      <c r="B772" s="432" t="s">
        <v>524</v>
      </c>
      <c r="C772" s="432"/>
      <c r="D772" s="434">
        <v>1174779</v>
      </c>
      <c r="E772" s="434">
        <v>1174779</v>
      </c>
    </row>
    <row r="773" spans="1:5" ht="15">
      <c r="A773" s="431"/>
      <c r="B773" s="433">
        <v>43539</v>
      </c>
      <c r="C773" s="432" t="s">
        <v>525</v>
      </c>
      <c r="D773" s="434">
        <v>-24711</v>
      </c>
      <c r="E773" s="434">
        <v>-24711</v>
      </c>
    </row>
    <row r="774" spans="1:5" ht="15">
      <c r="A774" s="431"/>
      <c r="B774" s="431"/>
      <c r="C774" s="432" t="s">
        <v>769</v>
      </c>
      <c r="D774" s="434">
        <v>200000</v>
      </c>
      <c r="E774" s="434"/>
    </row>
    <row r="775" spans="1:5" ht="15">
      <c r="A775" s="431"/>
      <c r="B775" s="431"/>
      <c r="C775" s="432" t="s">
        <v>770</v>
      </c>
      <c r="D775" s="434">
        <v>67600</v>
      </c>
      <c r="E775" s="434"/>
    </row>
    <row r="776" spans="1:5" ht="15">
      <c r="A776" s="431"/>
      <c r="B776" s="431"/>
      <c r="C776" s="432" t="s">
        <v>771</v>
      </c>
      <c r="D776" s="434">
        <v>-267600</v>
      </c>
      <c r="E776" s="434"/>
    </row>
    <row r="777" spans="1:5" ht="30">
      <c r="A777" s="431"/>
      <c r="B777" s="432" t="s">
        <v>527</v>
      </c>
      <c r="C777" s="432"/>
      <c r="D777" s="434">
        <v>-24711</v>
      </c>
      <c r="E777" s="434">
        <v>-24711</v>
      </c>
    </row>
    <row r="778" spans="1:5" ht="15">
      <c r="A778" s="431"/>
      <c r="B778" s="433">
        <v>43587</v>
      </c>
      <c r="C778" s="432" t="s">
        <v>772</v>
      </c>
      <c r="D778" s="434">
        <v>0</v>
      </c>
      <c r="E778" s="434">
        <v>200000</v>
      </c>
    </row>
    <row r="779" spans="1:5" ht="15">
      <c r="A779" s="431"/>
      <c r="B779" s="431"/>
      <c r="C779" s="432" t="s">
        <v>773</v>
      </c>
      <c r="D779" s="434">
        <v>0</v>
      </c>
      <c r="E779" s="434">
        <v>-267600</v>
      </c>
    </row>
    <row r="780" spans="1:5" ht="15">
      <c r="A780" s="431"/>
      <c r="B780" s="431"/>
      <c r="C780" s="431" t="s">
        <v>774</v>
      </c>
      <c r="D780" s="434">
        <v>0</v>
      </c>
      <c r="E780" s="434">
        <v>67600</v>
      </c>
    </row>
    <row r="781" spans="1:5" ht="15">
      <c r="A781" s="431"/>
      <c r="B781" s="432" t="s">
        <v>464</v>
      </c>
      <c r="C781" s="432"/>
      <c r="D781" s="434">
        <v>0</v>
      </c>
      <c r="E781" s="434">
        <v>0</v>
      </c>
    </row>
    <row r="782" spans="1:5" ht="30">
      <c r="A782" s="435" t="s">
        <v>775</v>
      </c>
      <c r="B782" s="435"/>
      <c r="C782" s="435"/>
      <c r="D782" s="436">
        <v>1150068</v>
      </c>
      <c r="E782" s="436">
        <v>1150068</v>
      </c>
    </row>
    <row r="783" spans="1:5" ht="15">
      <c r="A783" s="431" t="s">
        <v>497</v>
      </c>
      <c r="B783" s="433">
        <v>43539</v>
      </c>
      <c r="C783" s="431" t="s">
        <v>526</v>
      </c>
      <c r="D783" s="434">
        <v>550000</v>
      </c>
      <c r="E783" s="434">
        <v>550000</v>
      </c>
    </row>
    <row r="784" spans="1:5" ht="30">
      <c r="A784" s="431"/>
      <c r="B784" s="432" t="s">
        <v>527</v>
      </c>
      <c r="C784" s="432"/>
      <c r="D784" s="434">
        <v>550000</v>
      </c>
      <c r="E784" s="434">
        <v>550000</v>
      </c>
    </row>
    <row r="785" spans="1:5" ht="15">
      <c r="A785" s="431"/>
      <c r="B785" s="433">
        <v>43587</v>
      </c>
      <c r="C785" s="432" t="s">
        <v>544</v>
      </c>
      <c r="D785" s="434">
        <v>315000000</v>
      </c>
      <c r="E785" s="434">
        <v>322196530</v>
      </c>
    </row>
    <row r="786" spans="1:5" ht="15">
      <c r="A786" s="431"/>
      <c r="B786" s="431"/>
      <c r="C786" s="432" t="s">
        <v>546</v>
      </c>
      <c r="D786" s="434">
        <v>3011400</v>
      </c>
      <c r="E786" s="434">
        <v>3011400</v>
      </c>
    </row>
    <row r="787" spans="1:5" ht="15">
      <c r="A787" s="431"/>
      <c r="B787" s="431"/>
      <c r="C787" s="432" t="s">
        <v>616</v>
      </c>
      <c r="D787" s="434">
        <v>998720</v>
      </c>
      <c r="E787" s="434">
        <v>998720</v>
      </c>
    </row>
    <row r="788" spans="1:5" ht="15">
      <c r="A788" s="431"/>
      <c r="B788" s="431"/>
      <c r="C788" s="432" t="s">
        <v>549</v>
      </c>
      <c r="D788" s="434">
        <v>-916773</v>
      </c>
      <c r="E788" s="434">
        <v>-916773</v>
      </c>
    </row>
    <row r="789" spans="1:5" ht="15">
      <c r="A789" s="431"/>
      <c r="B789" s="431"/>
      <c r="C789" s="432" t="s">
        <v>550</v>
      </c>
      <c r="D789" s="434">
        <v>458387</v>
      </c>
      <c r="E789" s="434">
        <v>458387</v>
      </c>
    </row>
    <row r="790" spans="1:5" ht="15">
      <c r="A790" s="431"/>
      <c r="B790" s="431"/>
      <c r="C790" s="432" t="s">
        <v>551</v>
      </c>
      <c r="D790" s="434">
        <v>357541</v>
      </c>
      <c r="E790" s="434">
        <v>357541</v>
      </c>
    </row>
    <row r="791" spans="1:5" ht="15">
      <c r="A791" s="431"/>
      <c r="B791" s="431"/>
      <c r="C791" s="432" t="s">
        <v>671</v>
      </c>
      <c r="D791" s="434">
        <v>-3608214</v>
      </c>
      <c r="E791" s="434">
        <v>-3608214</v>
      </c>
    </row>
    <row r="792" spans="1:5" ht="15">
      <c r="A792" s="431"/>
      <c r="B792" s="431"/>
      <c r="C792" s="431" t="s">
        <v>555</v>
      </c>
      <c r="D792" s="434">
        <v>-98732</v>
      </c>
      <c r="E792" s="434">
        <v>-98732</v>
      </c>
    </row>
    <row r="793" spans="1:5" ht="15">
      <c r="A793" s="431"/>
      <c r="B793" s="431"/>
      <c r="C793" s="431" t="s">
        <v>557</v>
      </c>
      <c r="D793" s="434">
        <v>1280411</v>
      </c>
      <c r="E793" s="434">
        <v>1280411</v>
      </c>
    </row>
    <row r="794" spans="1:8" ht="15">
      <c r="A794" s="431"/>
      <c r="B794" s="431"/>
      <c r="C794" s="431" t="s">
        <v>618</v>
      </c>
      <c r="D794" s="434">
        <v>-2560821</v>
      </c>
      <c r="E794" s="434">
        <v>-2560821</v>
      </c>
      <c r="G794" s="543"/>
      <c r="H794" s="543"/>
    </row>
    <row r="795" spans="1:5" ht="15">
      <c r="A795" s="431"/>
      <c r="B795" s="431"/>
      <c r="C795" s="431" t="s">
        <v>672</v>
      </c>
      <c r="D795" s="434">
        <v>1078081</v>
      </c>
      <c r="E795" s="434">
        <v>1078081</v>
      </c>
    </row>
    <row r="796" spans="1:5" ht="15">
      <c r="A796" s="431"/>
      <c r="B796" s="432" t="s">
        <v>464</v>
      </c>
      <c r="C796" s="432"/>
      <c r="D796" s="434">
        <v>315000000</v>
      </c>
      <c r="E796" s="434">
        <v>322196530</v>
      </c>
    </row>
    <row r="797" spans="1:5" ht="15">
      <c r="A797" s="431"/>
      <c r="B797" s="433">
        <v>43589</v>
      </c>
      <c r="C797" s="432" t="s">
        <v>560</v>
      </c>
      <c r="D797" s="434">
        <v>1192825</v>
      </c>
      <c r="E797" s="434">
        <v>0</v>
      </c>
    </row>
    <row r="798" spans="1:5" ht="15">
      <c r="A798" s="431"/>
      <c r="B798" s="432" t="s">
        <v>435</v>
      </c>
      <c r="C798" s="432"/>
      <c r="D798" s="434">
        <v>1192825</v>
      </c>
      <c r="E798" s="434">
        <v>0</v>
      </c>
    </row>
    <row r="799" spans="1:5" ht="15">
      <c r="A799" s="435" t="s">
        <v>498</v>
      </c>
      <c r="B799" s="435"/>
      <c r="C799" s="435"/>
      <c r="D799" s="436">
        <v>316742825</v>
      </c>
      <c r="E799" s="436">
        <v>322746530</v>
      </c>
    </row>
    <row r="800" spans="1:5" ht="15">
      <c r="A800" s="431" t="s">
        <v>776</v>
      </c>
      <c r="B800" s="433">
        <v>43539</v>
      </c>
      <c r="C800" s="432" t="s">
        <v>777</v>
      </c>
      <c r="D800" s="434">
        <v>-1835000</v>
      </c>
      <c r="E800" s="434">
        <v>-1835000</v>
      </c>
    </row>
    <row r="801" spans="1:5" ht="30">
      <c r="A801" s="431"/>
      <c r="B801" s="432" t="s">
        <v>527</v>
      </c>
      <c r="C801" s="432"/>
      <c r="D801" s="434">
        <v>-1835000</v>
      </c>
      <c r="E801" s="434">
        <v>-1835000</v>
      </c>
    </row>
    <row r="802" spans="1:5" ht="30">
      <c r="A802" s="431"/>
      <c r="B802" s="433">
        <v>43587</v>
      </c>
      <c r="C802" s="432" t="s">
        <v>778</v>
      </c>
      <c r="D802" s="434">
        <v>0</v>
      </c>
      <c r="E802" s="434">
        <v>0</v>
      </c>
    </row>
    <row r="803" spans="1:5" ht="15">
      <c r="A803" s="431"/>
      <c r="B803" s="431"/>
      <c r="C803" s="432" t="s">
        <v>546</v>
      </c>
      <c r="D803" s="434">
        <v>868896</v>
      </c>
      <c r="E803" s="434">
        <v>868896</v>
      </c>
    </row>
    <row r="804" spans="1:5" ht="15">
      <c r="A804" s="431"/>
      <c r="B804" s="431"/>
      <c r="C804" s="432" t="s">
        <v>616</v>
      </c>
      <c r="D804" s="434">
        <v>119612</v>
      </c>
      <c r="E804" s="434">
        <v>119612</v>
      </c>
    </row>
    <row r="805" spans="1:5" ht="15">
      <c r="A805" s="431"/>
      <c r="B805" s="431"/>
      <c r="C805" s="432" t="s">
        <v>549</v>
      </c>
      <c r="D805" s="434">
        <v>-109798</v>
      </c>
      <c r="E805" s="434">
        <v>-109798</v>
      </c>
    </row>
    <row r="806" spans="1:5" ht="15">
      <c r="A806" s="431"/>
      <c r="B806" s="431"/>
      <c r="C806" s="432" t="s">
        <v>550</v>
      </c>
      <c r="D806" s="434">
        <v>54899</v>
      </c>
      <c r="E806" s="434">
        <v>54899</v>
      </c>
    </row>
    <row r="807" spans="1:5" ht="15">
      <c r="A807" s="431"/>
      <c r="B807" s="431"/>
      <c r="C807" s="432" t="s">
        <v>551</v>
      </c>
      <c r="D807" s="434">
        <v>42821</v>
      </c>
      <c r="E807" s="434">
        <v>42821</v>
      </c>
    </row>
    <row r="808" spans="1:5" ht="15">
      <c r="A808" s="431"/>
      <c r="B808" s="431"/>
      <c r="C808" s="432" t="s">
        <v>752</v>
      </c>
      <c r="D808" s="434">
        <v>-384000</v>
      </c>
      <c r="E808" s="434">
        <v>-384000</v>
      </c>
    </row>
    <row r="809" spans="1:5" ht="15">
      <c r="A809" s="431"/>
      <c r="B809" s="431"/>
      <c r="C809" s="431" t="s">
        <v>555</v>
      </c>
      <c r="D809" s="434">
        <v>-26984</v>
      </c>
      <c r="E809" s="434">
        <v>-26984</v>
      </c>
    </row>
    <row r="810" spans="1:5" ht="15">
      <c r="A810" s="431"/>
      <c r="B810" s="431"/>
      <c r="C810" s="431" t="s">
        <v>557</v>
      </c>
      <c r="D810" s="434">
        <v>153349</v>
      </c>
      <c r="E810" s="434">
        <v>153349</v>
      </c>
    </row>
    <row r="811" spans="1:5" ht="15">
      <c r="A811" s="431"/>
      <c r="B811" s="431"/>
      <c r="C811" s="431" t="s">
        <v>618</v>
      </c>
      <c r="D811" s="434">
        <v>-306697</v>
      </c>
      <c r="E811" s="434">
        <v>-306697</v>
      </c>
    </row>
    <row r="812" spans="1:5" ht="15">
      <c r="A812" s="431"/>
      <c r="B812" s="431"/>
      <c r="C812" s="431" t="s">
        <v>672</v>
      </c>
      <c r="D812" s="434">
        <v>311065</v>
      </c>
      <c r="E812" s="434">
        <v>311065</v>
      </c>
    </row>
    <row r="813" spans="1:5" ht="15">
      <c r="A813" s="431"/>
      <c r="B813" s="431"/>
      <c r="C813" s="431" t="s">
        <v>779</v>
      </c>
      <c r="D813" s="434">
        <v>-137472</v>
      </c>
      <c r="E813" s="434">
        <v>-137472</v>
      </c>
    </row>
    <row r="814" spans="1:5" ht="15">
      <c r="A814" s="431"/>
      <c r="B814" s="432" t="s">
        <v>464</v>
      </c>
      <c r="C814" s="432"/>
      <c r="D814" s="434">
        <v>585691</v>
      </c>
      <c r="E814" s="434">
        <v>585691</v>
      </c>
    </row>
    <row r="815" spans="1:5" ht="30">
      <c r="A815" s="435" t="s">
        <v>780</v>
      </c>
      <c r="B815" s="435"/>
      <c r="C815" s="435"/>
      <c r="D815" s="436">
        <v>-1249309</v>
      </c>
      <c r="E815" s="436">
        <v>-1249309</v>
      </c>
    </row>
    <row r="816" spans="1:5" ht="15">
      <c r="A816" s="431" t="s">
        <v>781</v>
      </c>
      <c r="B816" s="433">
        <v>43587</v>
      </c>
      <c r="C816" s="432" t="s">
        <v>546</v>
      </c>
      <c r="D816" s="434">
        <v>448116</v>
      </c>
      <c r="E816" s="434">
        <v>448116</v>
      </c>
    </row>
    <row r="817" spans="1:5" ht="15">
      <c r="A817" s="431"/>
      <c r="B817" s="431"/>
      <c r="C817" s="432" t="s">
        <v>616</v>
      </c>
      <c r="D817" s="434">
        <v>410095</v>
      </c>
      <c r="E817" s="434">
        <v>410095</v>
      </c>
    </row>
    <row r="818" spans="1:5" ht="15">
      <c r="A818" s="431"/>
      <c r="B818" s="431"/>
      <c r="C818" s="432" t="s">
        <v>549</v>
      </c>
      <c r="D818" s="434">
        <v>-376447</v>
      </c>
      <c r="E818" s="434">
        <v>-376447</v>
      </c>
    </row>
    <row r="819" spans="1:5" ht="15">
      <c r="A819" s="431"/>
      <c r="B819" s="431"/>
      <c r="C819" s="432" t="s">
        <v>550</v>
      </c>
      <c r="D819" s="434">
        <v>188223</v>
      </c>
      <c r="E819" s="434">
        <v>188223</v>
      </c>
    </row>
    <row r="820" spans="1:5" ht="15">
      <c r="A820" s="431"/>
      <c r="B820" s="431"/>
      <c r="C820" s="432" t="s">
        <v>551</v>
      </c>
      <c r="D820" s="434">
        <v>146814</v>
      </c>
      <c r="E820" s="434">
        <v>146814</v>
      </c>
    </row>
    <row r="821" spans="1:5" ht="15">
      <c r="A821" s="431"/>
      <c r="B821" s="431"/>
      <c r="C821" s="432" t="s">
        <v>764</v>
      </c>
      <c r="D821" s="434">
        <v>-819600</v>
      </c>
      <c r="E821" s="434">
        <v>-819600</v>
      </c>
    </row>
    <row r="822" spans="1:5" ht="15">
      <c r="A822" s="431"/>
      <c r="B822" s="431"/>
      <c r="C822" s="431" t="s">
        <v>553</v>
      </c>
      <c r="D822" s="434">
        <v>-1734348</v>
      </c>
      <c r="E822" s="434">
        <v>-1734348</v>
      </c>
    </row>
    <row r="823" spans="1:5" ht="15">
      <c r="A823" s="431"/>
      <c r="B823" s="431"/>
      <c r="C823" s="431" t="s">
        <v>555</v>
      </c>
      <c r="D823" s="434">
        <v>-74410</v>
      </c>
      <c r="E823" s="434">
        <v>-74410</v>
      </c>
    </row>
    <row r="824" spans="1:5" ht="15">
      <c r="A824" s="431"/>
      <c r="B824" s="431"/>
      <c r="C824" s="431" t="s">
        <v>557</v>
      </c>
      <c r="D824" s="434">
        <v>525763</v>
      </c>
      <c r="E824" s="434">
        <v>525763</v>
      </c>
    </row>
    <row r="825" spans="1:5" ht="15">
      <c r="A825" s="431"/>
      <c r="B825" s="431"/>
      <c r="C825" s="431" t="s">
        <v>618</v>
      </c>
      <c r="D825" s="434">
        <v>-1051526</v>
      </c>
      <c r="E825" s="434">
        <v>-1051526</v>
      </c>
    </row>
    <row r="826" spans="1:5" ht="15">
      <c r="A826" s="431"/>
      <c r="B826" s="431"/>
      <c r="C826" s="431" t="s">
        <v>672</v>
      </c>
      <c r="D826" s="434">
        <v>160425</v>
      </c>
      <c r="E826" s="434">
        <v>160425</v>
      </c>
    </row>
    <row r="827" spans="1:5" ht="15">
      <c r="A827" s="431"/>
      <c r="B827" s="431"/>
      <c r="C827" s="431" t="s">
        <v>782</v>
      </c>
      <c r="D827" s="434">
        <v>-277025</v>
      </c>
      <c r="E827" s="434">
        <v>-277025</v>
      </c>
    </row>
    <row r="828" spans="1:5" ht="15">
      <c r="A828" s="431"/>
      <c r="B828" s="432" t="s">
        <v>464</v>
      </c>
      <c r="C828" s="432"/>
      <c r="D828" s="434">
        <v>-2453920</v>
      </c>
      <c r="E828" s="434">
        <v>-2453920</v>
      </c>
    </row>
    <row r="829" spans="1:5" ht="30">
      <c r="A829" s="435" t="s">
        <v>783</v>
      </c>
      <c r="B829" s="435"/>
      <c r="C829" s="435"/>
      <c r="D829" s="436">
        <v>-2453920</v>
      </c>
      <c r="E829" s="436">
        <v>-2453920</v>
      </c>
    </row>
    <row r="830" spans="1:5" ht="15">
      <c r="A830" s="431" t="s">
        <v>784</v>
      </c>
      <c r="B830" s="433">
        <v>43587</v>
      </c>
      <c r="C830" s="432" t="s">
        <v>546</v>
      </c>
      <c r="D830" s="434">
        <v>2172528</v>
      </c>
      <c r="E830" s="434">
        <v>2172528</v>
      </c>
    </row>
    <row r="831" spans="1:5" ht="15">
      <c r="A831" s="431"/>
      <c r="B831" s="431"/>
      <c r="C831" s="432" t="s">
        <v>616</v>
      </c>
      <c r="D831" s="434">
        <v>277449</v>
      </c>
      <c r="E831" s="434">
        <v>277449</v>
      </c>
    </row>
    <row r="832" spans="1:5" ht="15">
      <c r="A832" s="431"/>
      <c r="B832" s="431"/>
      <c r="C832" s="432" t="s">
        <v>549</v>
      </c>
      <c r="D832" s="434">
        <v>-254685</v>
      </c>
      <c r="E832" s="434">
        <v>-254685</v>
      </c>
    </row>
    <row r="833" spans="1:5" ht="15">
      <c r="A833" s="431"/>
      <c r="B833" s="431"/>
      <c r="C833" s="432" t="s">
        <v>550</v>
      </c>
      <c r="D833" s="434">
        <v>127342</v>
      </c>
      <c r="E833" s="434">
        <v>127342</v>
      </c>
    </row>
    <row r="834" spans="1:5" ht="15">
      <c r="A834" s="431"/>
      <c r="B834" s="431"/>
      <c r="C834" s="432" t="s">
        <v>551</v>
      </c>
      <c r="D834" s="434">
        <v>99327</v>
      </c>
      <c r="E834" s="434">
        <v>99327</v>
      </c>
    </row>
    <row r="835" spans="1:5" ht="15">
      <c r="A835" s="431"/>
      <c r="B835" s="431"/>
      <c r="C835" s="431" t="s">
        <v>553</v>
      </c>
      <c r="D835" s="434">
        <v>-277338</v>
      </c>
      <c r="E835" s="434">
        <v>-277338</v>
      </c>
    </row>
    <row r="836" spans="1:5" ht="15">
      <c r="A836" s="431"/>
      <c r="B836" s="431"/>
      <c r="C836" s="431" t="s">
        <v>555</v>
      </c>
      <c r="D836" s="434">
        <v>-24932</v>
      </c>
      <c r="E836" s="434">
        <v>-24932</v>
      </c>
    </row>
    <row r="837" spans="1:5" ht="15">
      <c r="A837" s="431"/>
      <c r="B837" s="431"/>
      <c r="C837" s="431" t="s">
        <v>557</v>
      </c>
      <c r="D837" s="434">
        <v>355705</v>
      </c>
      <c r="E837" s="434">
        <v>355705</v>
      </c>
    </row>
    <row r="838" spans="1:5" ht="15">
      <c r="A838" s="431"/>
      <c r="B838" s="431"/>
      <c r="C838" s="431" t="s">
        <v>618</v>
      </c>
      <c r="D838" s="434">
        <v>-711410</v>
      </c>
      <c r="E838" s="434">
        <v>-711410</v>
      </c>
    </row>
    <row r="839" spans="1:5" ht="15">
      <c r="A839" s="431"/>
      <c r="B839" s="431"/>
      <c r="C839" s="431" t="s">
        <v>559</v>
      </c>
      <c r="D839" s="434">
        <v>777765</v>
      </c>
      <c r="E839" s="434">
        <v>777765</v>
      </c>
    </row>
    <row r="840" spans="1:5" ht="15">
      <c r="A840" s="431"/>
      <c r="B840" s="432" t="s">
        <v>464</v>
      </c>
      <c r="C840" s="432"/>
      <c r="D840" s="434">
        <v>2541751</v>
      </c>
      <c r="E840" s="434">
        <v>2541751</v>
      </c>
    </row>
    <row r="841" spans="1:5" ht="30">
      <c r="A841" s="435" t="s">
        <v>785</v>
      </c>
      <c r="B841" s="435"/>
      <c r="C841" s="435"/>
      <c r="D841" s="436">
        <v>2541751</v>
      </c>
      <c r="E841" s="436">
        <v>2541751</v>
      </c>
    </row>
    <row r="842" spans="1:5" ht="15">
      <c r="A842" s="431" t="s">
        <v>786</v>
      </c>
      <c r="B842" s="433">
        <v>43587</v>
      </c>
      <c r="C842" s="432" t="s">
        <v>787</v>
      </c>
      <c r="D842" s="437">
        <v>-123320000</v>
      </c>
      <c r="E842" s="434">
        <v>-123320000</v>
      </c>
    </row>
    <row r="843" spans="1:5" ht="15">
      <c r="A843" s="431"/>
      <c r="B843" s="431"/>
      <c r="C843" s="432" t="s">
        <v>546</v>
      </c>
      <c r="D843" s="434">
        <v>5979156</v>
      </c>
      <c r="E843" s="434">
        <v>5979156</v>
      </c>
    </row>
    <row r="844" spans="1:5" ht="15">
      <c r="A844" s="431"/>
      <c r="B844" s="431"/>
      <c r="C844" s="432" t="s">
        <v>616</v>
      </c>
      <c r="D844" s="434">
        <v>3590158</v>
      </c>
      <c r="E844" s="434">
        <v>3590158</v>
      </c>
    </row>
    <row r="845" spans="1:5" ht="15">
      <c r="A845" s="431"/>
      <c r="B845" s="431"/>
      <c r="C845" s="432" t="s">
        <v>549</v>
      </c>
      <c r="D845" s="434">
        <v>-3295581</v>
      </c>
      <c r="E845" s="434">
        <v>-3295581</v>
      </c>
    </row>
    <row r="846" spans="1:5" ht="15">
      <c r="A846" s="431"/>
      <c r="B846" s="431"/>
      <c r="C846" s="432" t="s">
        <v>550</v>
      </c>
      <c r="D846" s="434">
        <v>1647790</v>
      </c>
      <c r="E846" s="434">
        <v>1647790</v>
      </c>
    </row>
    <row r="847" spans="1:5" ht="15">
      <c r="A847" s="431"/>
      <c r="B847" s="431"/>
      <c r="C847" s="432" t="s">
        <v>551</v>
      </c>
      <c r="D847" s="434">
        <v>1285276</v>
      </c>
      <c r="E847" s="434">
        <v>1285276</v>
      </c>
    </row>
    <row r="848" spans="1:5" ht="15">
      <c r="A848" s="431"/>
      <c r="B848" s="431"/>
      <c r="C848" s="431" t="s">
        <v>553</v>
      </c>
      <c r="D848" s="434">
        <v>-34849998</v>
      </c>
      <c r="E848" s="434">
        <v>-34849998</v>
      </c>
    </row>
    <row r="849" spans="1:5" ht="15">
      <c r="A849" s="431"/>
      <c r="B849" s="431"/>
      <c r="C849" s="431" t="s">
        <v>555</v>
      </c>
      <c r="D849" s="434">
        <v>-358978</v>
      </c>
      <c r="E849" s="434">
        <v>-358978</v>
      </c>
    </row>
    <row r="850" spans="1:5" ht="15">
      <c r="A850" s="431"/>
      <c r="B850" s="431"/>
      <c r="C850" s="431" t="s">
        <v>557</v>
      </c>
      <c r="D850" s="434">
        <v>4602767</v>
      </c>
      <c r="E850" s="434">
        <v>4602767</v>
      </c>
    </row>
    <row r="851" spans="1:5" ht="15">
      <c r="A851" s="431"/>
      <c r="B851" s="431"/>
      <c r="C851" s="431" t="s">
        <v>618</v>
      </c>
      <c r="D851" s="434">
        <v>-9205532</v>
      </c>
      <c r="E851" s="434">
        <v>-9205532</v>
      </c>
    </row>
    <row r="852" spans="1:5" ht="15">
      <c r="A852" s="431"/>
      <c r="B852" s="431"/>
      <c r="C852" s="431" t="s">
        <v>672</v>
      </c>
      <c r="D852" s="434">
        <v>2140538</v>
      </c>
      <c r="E852" s="434">
        <v>2140538</v>
      </c>
    </row>
    <row r="853" spans="1:5" ht="15">
      <c r="A853" s="431"/>
      <c r="B853" s="432" t="s">
        <v>464</v>
      </c>
      <c r="C853" s="432"/>
      <c r="D853" s="434">
        <v>-151784404</v>
      </c>
      <c r="E853" s="434">
        <v>-151784404</v>
      </c>
    </row>
    <row r="854" spans="1:5" ht="30">
      <c r="A854" s="435" t="s">
        <v>788</v>
      </c>
      <c r="B854" s="435"/>
      <c r="C854" s="435"/>
      <c r="D854" s="436">
        <v>-151784404</v>
      </c>
      <c r="E854" s="436">
        <v>-151784404</v>
      </c>
    </row>
    <row r="855" spans="1:5" ht="15">
      <c r="A855" s="431" t="s">
        <v>499</v>
      </c>
      <c r="B855" s="433">
        <v>43539</v>
      </c>
      <c r="C855" s="432" t="s">
        <v>789</v>
      </c>
      <c r="D855" s="434">
        <v>20000000</v>
      </c>
      <c r="E855" s="434">
        <v>20000000</v>
      </c>
    </row>
    <row r="856" spans="1:5" ht="30">
      <c r="A856" s="431"/>
      <c r="B856" s="432" t="s">
        <v>527</v>
      </c>
      <c r="C856" s="432"/>
      <c r="D856" s="434">
        <v>20000000</v>
      </c>
      <c r="E856" s="434">
        <v>20000000</v>
      </c>
    </row>
    <row r="857" spans="1:5" ht="15">
      <c r="A857" s="431"/>
      <c r="B857" s="433">
        <v>43587</v>
      </c>
      <c r="C857" s="432" t="s">
        <v>546</v>
      </c>
      <c r="D857" s="434">
        <v>6612720</v>
      </c>
      <c r="E857" s="434">
        <v>6612720</v>
      </c>
    </row>
    <row r="858" spans="1:5" ht="15">
      <c r="A858" s="431"/>
      <c r="B858" s="431"/>
      <c r="C858" s="432" t="s">
        <v>616</v>
      </c>
      <c r="D858" s="434">
        <v>2777189</v>
      </c>
      <c r="E858" s="434">
        <v>2777189</v>
      </c>
    </row>
    <row r="859" spans="1:5" ht="15">
      <c r="A859" s="431"/>
      <c r="B859" s="431"/>
      <c r="C859" s="432" t="s">
        <v>549</v>
      </c>
      <c r="D859" s="434">
        <v>-2549318</v>
      </c>
      <c r="E859" s="434">
        <v>-2549318</v>
      </c>
    </row>
    <row r="860" spans="1:5" ht="15">
      <c r="A860" s="431"/>
      <c r="B860" s="431"/>
      <c r="C860" s="432" t="s">
        <v>550</v>
      </c>
      <c r="D860" s="434">
        <v>1274659</v>
      </c>
      <c r="E860" s="434">
        <v>1274659</v>
      </c>
    </row>
    <row r="861" spans="1:5" ht="15">
      <c r="A861" s="431"/>
      <c r="B861" s="431"/>
      <c r="C861" s="432" t="s">
        <v>551</v>
      </c>
      <c r="D861" s="434">
        <v>994234</v>
      </c>
      <c r="E861" s="434">
        <v>994234</v>
      </c>
    </row>
    <row r="862" spans="1:5" ht="15">
      <c r="A862" s="431"/>
      <c r="B862" s="431"/>
      <c r="C862" s="431" t="s">
        <v>553</v>
      </c>
      <c r="D862" s="434">
        <v>-8399011</v>
      </c>
      <c r="E862" s="434">
        <v>-8399011</v>
      </c>
    </row>
    <row r="863" spans="1:5" ht="15">
      <c r="A863" s="431"/>
      <c r="B863" s="431"/>
      <c r="C863" s="431" t="s">
        <v>555</v>
      </c>
      <c r="D863" s="434">
        <v>-272034</v>
      </c>
      <c r="E863" s="434">
        <v>-272034</v>
      </c>
    </row>
    <row r="864" spans="1:5" ht="15">
      <c r="A864" s="431"/>
      <c r="B864" s="431"/>
      <c r="C864" s="431" t="s">
        <v>557</v>
      </c>
      <c r="D864" s="434">
        <v>3560500</v>
      </c>
      <c r="E864" s="434">
        <v>3560500</v>
      </c>
    </row>
    <row r="865" spans="1:5" ht="15">
      <c r="A865" s="431"/>
      <c r="B865" s="431"/>
      <c r="C865" s="431" t="s">
        <v>618</v>
      </c>
      <c r="D865" s="434">
        <v>-7121000</v>
      </c>
      <c r="E865" s="434">
        <v>-7121000</v>
      </c>
    </row>
    <row r="866" spans="1:5" ht="15">
      <c r="A866" s="431"/>
      <c r="B866" s="431"/>
      <c r="C866" s="431" t="s">
        <v>559</v>
      </c>
      <c r="D866" s="434">
        <v>2367353</v>
      </c>
      <c r="E866" s="434">
        <v>2367353</v>
      </c>
    </row>
    <row r="867" spans="1:5" ht="15">
      <c r="A867" s="431"/>
      <c r="B867" s="432" t="s">
        <v>464</v>
      </c>
      <c r="C867" s="432"/>
      <c r="D867" s="434">
        <v>-754708</v>
      </c>
      <c r="E867" s="434">
        <v>-754708</v>
      </c>
    </row>
    <row r="868" spans="1:5" ht="30">
      <c r="A868" s="435" t="s">
        <v>501</v>
      </c>
      <c r="B868" s="435"/>
      <c r="C868" s="435"/>
      <c r="D868" s="436">
        <v>19245292</v>
      </c>
      <c r="E868" s="436">
        <v>19245292</v>
      </c>
    </row>
    <row r="869" spans="1:5" ht="15">
      <c r="A869" s="431" t="s">
        <v>72</v>
      </c>
      <c r="B869" s="433">
        <v>43539</v>
      </c>
      <c r="C869" s="432" t="s">
        <v>602</v>
      </c>
      <c r="D869" s="434">
        <v>8744000</v>
      </c>
      <c r="E869" s="434">
        <v>8104000</v>
      </c>
    </row>
    <row r="870" spans="1:5" ht="30">
      <c r="A870" s="431"/>
      <c r="B870" s="431"/>
      <c r="C870" s="432" t="s">
        <v>790</v>
      </c>
      <c r="D870" s="434">
        <v>7952260</v>
      </c>
      <c r="E870" s="434">
        <v>7952260</v>
      </c>
    </row>
    <row r="871" spans="1:5" ht="30">
      <c r="A871" s="431"/>
      <c r="B871" s="432" t="s">
        <v>527</v>
      </c>
      <c r="C871" s="432"/>
      <c r="D871" s="434">
        <v>16696260</v>
      </c>
      <c r="E871" s="434">
        <v>16056260</v>
      </c>
    </row>
    <row r="872" spans="1:5" ht="15">
      <c r="A872" s="431"/>
      <c r="B872" s="433">
        <v>43587</v>
      </c>
      <c r="C872" s="432" t="s">
        <v>757</v>
      </c>
      <c r="D872" s="434">
        <v>-1326305</v>
      </c>
      <c r="E872" s="434">
        <v>-1326305</v>
      </c>
    </row>
    <row r="873" spans="1:5" ht="15">
      <c r="A873" s="431"/>
      <c r="B873" s="431"/>
      <c r="C873" s="432" t="s">
        <v>758</v>
      </c>
      <c r="D873" s="434">
        <v>663153</v>
      </c>
      <c r="E873" s="434">
        <v>663153</v>
      </c>
    </row>
    <row r="874" spans="1:5" ht="15">
      <c r="A874" s="431"/>
      <c r="B874" s="431"/>
      <c r="C874" s="432" t="s">
        <v>616</v>
      </c>
      <c r="D874" s="434">
        <v>4760410</v>
      </c>
      <c r="E874" s="434">
        <v>4760410</v>
      </c>
    </row>
    <row r="875" spans="1:5" ht="15">
      <c r="A875" s="431"/>
      <c r="B875" s="431"/>
      <c r="C875" s="432" t="s">
        <v>549</v>
      </c>
      <c r="D875" s="434">
        <v>-474817</v>
      </c>
      <c r="E875" s="434">
        <v>-474817</v>
      </c>
    </row>
    <row r="876" spans="1:5" ht="15">
      <c r="A876" s="431"/>
      <c r="B876" s="431"/>
      <c r="C876" s="432" t="s">
        <v>550</v>
      </c>
      <c r="D876" s="434">
        <v>237409</v>
      </c>
      <c r="E876" s="434">
        <v>237409</v>
      </c>
    </row>
    <row r="877" spans="1:5" ht="15">
      <c r="A877" s="431"/>
      <c r="B877" s="431"/>
      <c r="C877" s="432" t="s">
        <v>551</v>
      </c>
      <c r="D877" s="434">
        <v>1704227</v>
      </c>
      <c r="E877" s="434">
        <v>1704227</v>
      </c>
    </row>
    <row r="878" spans="1:5" ht="15">
      <c r="A878" s="431"/>
      <c r="B878" s="431"/>
      <c r="C878" s="431" t="s">
        <v>553</v>
      </c>
      <c r="D878" s="434">
        <v>-3892603</v>
      </c>
      <c r="E878" s="434">
        <v>-3892603</v>
      </c>
    </row>
    <row r="879" spans="1:5" ht="15">
      <c r="A879" s="431"/>
      <c r="B879" s="431"/>
      <c r="C879" s="431" t="s">
        <v>555</v>
      </c>
      <c r="D879" s="434">
        <v>-478746</v>
      </c>
      <c r="E879" s="434">
        <v>-478746</v>
      </c>
    </row>
    <row r="880" spans="1:5" ht="15">
      <c r="A880" s="431"/>
      <c r="B880" s="431"/>
      <c r="C880" s="431" t="s">
        <v>791</v>
      </c>
      <c r="D880" s="434">
        <v>470568</v>
      </c>
      <c r="E880" s="434">
        <v>470568</v>
      </c>
    </row>
    <row r="881" spans="1:5" ht="15">
      <c r="A881" s="431"/>
      <c r="B881" s="431"/>
      <c r="C881" s="431" t="s">
        <v>792</v>
      </c>
      <c r="D881" s="434">
        <v>168463</v>
      </c>
      <c r="E881" s="434">
        <v>168463</v>
      </c>
    </row>
    <row r="882" spans="1:5" ht="15">
      <c r="A882" s="431"/>
      <c r="B882" s="432" t="s">
        <v>464</v>
      </c>
      <c r="C882" s="432"/>
      <c r="D882" s="434">
        <v>1831759</v>
      </c>
      <c r="E882" s="434">
        <v>1831759</v>
      </c>
    </row>
    <row r="883" spans="1:5" ht="30">
      <c r="A883" s="435" t="s">
        <v>503</v>
      </c>
      <c r="B883" s="435"/>
      <c r="C883" s="435"/>
      <c r="D883" s="436">
        <v>18528019</v>
      </c>
      <c r="E883" s="436">
        <v>17888019</v>
      </c>
    </row>
    <row r="884" spans="1:5" ht="15">
      <c r="A884" s="431" t="s">
        <v>504</v>
      </c>
      <c r="B884" s="433">
        <v>43587</v>
      </c>
      <c r="C884" s="432" t="s">
        <v>544</v>
      </c>
      <c r="D884" s="434">
        <v>-520710551</v>
      </c>
      <c r="E884" s="434">
        <v>600000000</v>
      </c>
    </row>
    <row r="885" spans="1:5" ht="15">
      <c r="A885" s="431"/>
      <c r="B885" s="431"/>
      <c r="C885" s="432" t="s">
        <v>546</v>
      </c>
      <c r="D885" s="434">
        <v>0</v>
      </c>
      <c r="E885" s="434">
        <v>0</v>
      </c>
    </row>
    <row r="886" spans="1:5" ht="15">
      <c r="A886" s="431"/>
      <c r="B886" s="431"/>
      <c r="C886" s="432" t="s">
        <v>616</v>
      </c>
      <c r="D886" s="434">
        <v>1144805</v>
      </c>
      <c r="E886" s="434">
        <v>1144805</v>
      </c>
    </row>
    <row r="887" spans="1:5" ht="15">
      <c r="A887" s="431"/>
      <c r="B887" s="431"/>
      <c r="C887" s="432" t="s">
        <v>549</v>
      </c>
      <c r="D887" s="434">
        <v>-1050872</v>
      </c>
      <c r="E887" s="434">
        <v>-1050872</v>
      </c>
    </row>
    <row r="888" spans="1:5" ht="15">
      <c r="A888" s="431"/>
      <c r="B888" s="431"/>
      <c r="C888" s="432" t="s">
        <v>550</v>
      </c>
      <c r="D888" s="434">
        <v>525436</v>
      </c>
      <c r="E888" s="434">
        <v>525436</v>
      </c>
    </row>
    <row r="889" spans="1:5" ht="15">
      <c r="A889" s="431"/>
      <c r="B889" s="431"/>
      <c r="C889" s="432" t="s">
        <v>551</v>
      </c>
      <c r="D889" s="434">
        <v>409840</v>
      </c>
      <c r="E889" s="434">
        <v>409840</v>
      </c>
    </row>
    <row r="890" spans="1:5" ht="15">
      <c r="A890" s="431"/>
      <c r="B890" s="431"/>
      <c r="C890" s="432" t="s">
        <v>671</v>
      </c>
      <c r="D890" s="434">
        <v>563953</v>
      </c>
      <c r="E890" s="434">
        <v>563953</v>
      </c>
    </row>
    <row r="891" spans="1:5" ht="15">
      <c r="A891" s="431"/>
      <c r="B891" s="431"/>
      <c r="C891" s="431" t="s">
        <v>555</v>
      </c>
      <c r="D891" s="434">
        <v>-125464</v>
      </c>
      <c r="E891" s="434">
        <v>-125464</v>
      </c>
    </row>
    <row r="892" spans="1:5" ht="15">
      <c r="A892" s="431"/>
      <c r="B892" s="431"/>
      <c r="C892" s="431" t="s">
        <v>557</v>
      </c>
      <c r="D892" s="434">
        <v>1467699</v>
      </c>
      <c r="E892" s="434">
        <v>1467699</v>
      </c>
    </row>
    <row r="893" spans="1:5" ht="15">
      <c r="A893" s="431"/>
      <c r="B893" s="431"/>
      <c r="C893" s="431" t="s">
        <v>618</v>
      </c>
      <c r="D893" s="434">
        <v>-2935397</v>
      </c>
      <c r="E893" s="434">
        <v>-2935397</v>
      </c>
    </row>
    <row r="894" spans="1:5" ht="15">
      <c r="A894" s="431"/>
      <c r="B894" s="431"/>
      <c r="C894" s="431" t="s">
        <v>672</v>
      </c>
      <c r="D894" s="434">
        <v>0</v>
      </c>
      <c r="E894" s="434">
        <v>0</v>
      </c>
    </row>
    <row r="895" spans="1:5" ht="15">
      <c r="A895" s="431"/>
      <c r="B895" s="432" t="s">
        <v>464</v>
      </c>
      <c r="C895" s="432"/>
      <c r="D895" s="434">
        <v>-520710551</v>
      </c>
      <c r="E895" s="434">
        <v>600000000</v>
      </c>
    </row>
    <row r="896" spans="1:5" ht="15">
      <c r="A896" s="431"/>
      <c r="B896" s="433">
        <v>43589</v>
      </c>
      <c r="C896" s="432" t="s">
        <v>560</v>
      </c>
      <c r="D896" s="434">
        <v>33108790</v>
      </c>
      <c r="E896" s="434">
        <v>0</v>
      </c>
    </row>
    <row r="897" spans="1:5" ht="15">
      <c r="A897" s="431"/>
      <c r="B897" s="431"/>
      <c r="C897" s="432" t="s">
        <v>561</v>
      </c>
      <c r="D897" s="434">
        <v>342051611</v>
      </c>
      <c r="E897" s="434">
        <v>0</v>
      </c>
    </row>
    <row r="898" spans="1:5" ht="15">
      <c r="A898" s="431"/>
      <c r="B898" s="432" t="s">
        <v>435</v>
      </c>
      <c r="C898" s="432"/>
      <c r="D898" s="434">
        <v>375160401</v>
      </c>
      <c r="E898" s="434">
        <v>0</v>
      </c>
    </row>
    <row r="899" spans="1:5" ht="15">
      <c r="A899" s="435" t="s">
        <v>505</v>
      </c>
      <c r="B899" s="435"/>
      <c r="C899" s="435"/>
      <c r="D899" s="436">
        <v>-145550150</v>
      </c>
      <c r="E899" s="436">
        <v>600000000</v>
      </c>
    </row>
    <row r="900" spans="1:5" ht="15">
      <c r="A900" s="431" t="s">
        <v>506</v>
      </c>
      <c r="B900" s="433">
        <v>43587</v>
      </c>
      <c r="C900" s="432" t="s">
        <v>546</v>
      </c>
      <c r="D900" s="434">
        <v>25848000</v>
      </c>
      <c r="E900" s="434">
        <v>25848000</v>
      </c>
    </row>
    <row r="901" spans="1:5" ht="15">
      <c r="A901" s="431"/>
      <c r="B901" s="431"/>
      <c r="C901" s="432" t="s">
        <v>616</v>
      </c>
      <c r="D901" s="434">
        <v>2477422</v>
      </c>
      <c r="E901" s="434">
        <v>2477422</v>
      </c>
    </row>
    <row r="902" spans="1:5" ht="15">
      <c r="A902" s="431"/>
      <c r="B902" s="431"/>
      <c r="C902" s="432" t="s">
        <v>549</v>
      </c>
      <c r="D902" s="434">
        <v>-2274146</v>
      </c>
      <c r="E902" s="434">
        <v>-2274146</v>
      </c>
    </row>
    <row r="903" spans="1:5" ht="15">
      <c r="A903" s="431"/>
      <c r="B903" s="431"/>
      <c r="C903" s="432" t="s">
        <v>550</v>
      </c>
      <c r="D903" s="434">
        <v>1137074</v>
      </c>
      <c r="E903" s="434">
        <v>1137074</v>
      </c>
    </row>
    <row r="904" spans="1:5" ht="15">
      <c r="A904" s="431"/>
      <c r="B904" s="431"/>
      <c r="C904" s="432" t="s">
        <v>551</v>
      </c>
      <c r="D904" s="434">
        <v>886917</v>
      </c>
      <c r="E904" s="434">
        <v>886917</v>
      </c>
    </row>
    <row r="905" spans="1:5" ht="15">
      <c r="A905" s="431"/>
      <c r="B905" s="431"/>
      <c r="C905" s="431" t="s">
        <v>553</v>
      </c>
      <c r="D905" s="434">
        <v>-14227413</v>
      </c>
      <c r="E905" s="434">
        <v>-14227413</v>
      </c>
    </row>
    <row r="906" spans="1:5" ht="15">
      <c r="A906" s="431"/>
      <c r="B906" s="431"/>
      <c r="C906" s="431" t="s">
        <v>555</v>
      </c>
      <c r="D906" s="434">
        <v>-203557</v>
      </c>
      <c r="E906" s="434">
        <v>-203557</v>
      </c>
    </row>
    <row r="907" spans="1:5" ht="15">
      <c r="A907" s="431"/>
      <c r="B907" s="431"/>
      <c r="C907" s="431" t="s">
        <v>557</v>
      </c>
      <c r="D907" s="434">
        <v>3176183</v>
      </c>
      <c r="E907" s="434">
        <v>3176183</v>
      </c>
    </row>
    <row r="908" spans="1:5" ht="15">
      <c r="A908" s="431"/>
      <c r="B908" s="431"/>
      <c r="C908" s="431" t="s">
        <v>618</v>
      </c>
      <c r="D908" s="434">
        <v>-6352365</v>
      </c>
      <c r="E908" s="434">
        <v>-6352365</v>
      </c>
    </row>
    <row r="909" spans="1:5" ht="15">
      <c r="A909" s="431"/>
      <c r="B909" s="431"/>
      <c r="C909" s="431" t="s">
        <v>559</v>
      </c>
      <c r="D909" s="434">
        <v>9253584</v>
      </c>
      <c r="E909" s="434">
        <v>9253584</v>
      </c>
    </row>
    <row r="910" spans="1:5" ht="15">
      <c r="A910" s="431"/>
      <c r="B910" s="432" t="s">
        <v>464</v>
      </c>
      <c r="C910" s="432"/>
      <c r="D910" s="434">
        <v>19721699</v>
      </c>
      <c r="E910" s="434">
        <v>19721699</v>
      </c>
    </row>
    <row r="911" spans="1:5" ht="30">
      <c r="A911" s="435" t="s">
        <v>507</v>
      </c>
      <c r="B911" s="435"/>
      <c r="C911" s="435"/>
      <c r="D911" s="436">
        <v>19721699</v>
      </c>
      <c r="E911" s="436">
        <v>19721699</v>
      </c>
    </row>
    <row r="912" spans="1:5" ht="15">
      <c r="A912" s="431" t="s">
        <v>508</v>
      </c>
      <c r="B912" s="433">
        <v>43480</v>
      </c>
      <c r="C912" s="432" t="s">
        <v>518</v>
      </c>
      <c r="D912" s="434">
        <v>20055612</v>
      </c>
      <c r="E912" s="434">
        <v>20055612</v>
      </c>
    </row>
    <row r="913" spans="1:5" ht="15">
      <c r="A913" s="431"/>
      <c r="B913" s="431"/>
      <c r="C913" s="432" t="s">
        <v>519</v>
      </c>
      <c r="D913" s="434">
        <v>-948000</v>
      </c>
      <c r="E913" s="434">
        <v>-948000</v>
      </c>
    </row>
    <row r="914" spans="1:5" ht="15">
      <c r="A914" s="431"/>
      <c r="B914" s="431"/>
      <c r="C914" s="432" t="s">
        <v>520</v>
      </c>
      <c r="D914" s="434">
        <v>6897700</v>
      </c>
      <c r="E914" s="434">
        <v>6897700</v>
      </c>
    </row>
    <row r="915" spans="1:5" ht="15">
      <c r="A915" s="431"/>
      <c r="B915" s="431"/>
      <c r="C915" s="431" t="s">
        <v>523</v>
      </c>
      <c r="D915" s="434">
        <v>-310800</v>
      </c>
      <c r="E915" s="434">
        <v>-310800</v>
      </c>
    </row>
    <row r="916" spans="1:5" ht="30">
      <c r="A916" s="431"/>
      <c r="B916" s="432" t="s">
        <v>524</v>
      </c>
      <c r="C916" s="432"/>
      <c r="D916" s="434">
        <v>25694512</v>
      </c>
      <c r="E916" s="434">
        <v>25694512</v>
      </c>
    </row>
    <row r="917" spans="1:5" ht="15">
      <c r="A917" s="431"/>
      <c r="B917" s="433">
        <v>43539</v>
      </c>
      <c r="C917" s="432" t="s">
        <v>525</v>
      </c>
      <c r="D917" s="434">
        <v>-359544</v>
      </c>
      <c r="E917" s="434"/>
    </row>
    <row r="918" spans="1:5" ht="15">
      <c r="A918" s="431"/>
      <c r="B918" s="431"/>
      <c r="C918" s="432" t="s">
        <v>793</v>
      </c>
      <c r="D918" s="434">
        <v>60070000</v>
      </c>
      <c r="E918" s="434">
        <v>69560000</v>
      </c>
    </row>
    <row r="919" spans="1:5" ht="15">
      <c r="A919" s="431"/>
      <c r="B919" s="431"/>
      <c r="C919" s="432" t="s">
        <v>794</v>
      </c>
      <c r="D919" s="434">
        <v>0</v>
      </c>
      <c r="E919" s="434">
        <v>0</v>
      </c>
    </row>
    <row r="920" spans="1:5" ht="15">
      <c r="A920" s="431"/>
      <c r="B920" s="431"/>
      <c r="C920" s="431" t="s">
        <v>534</v>
      </c>
      <c r="D920" s="434">
        <v>477200</v>
      </c>
      <c r="E920" s="434">
        <v>894000</v>
      </c>
    </row>
    <row r="921" spans="1:5" ht="30">
      <c r="A921" s="431"/>
      <c r="B921" s="432" t="s">
        <v>527</v>
      </c>
      <c r="C921" s="432"/>
      <c r="D921" s="434">
        <v>60187656</v>
      </c>
      <c r="E921" s="434">
        <v>70454000</v>
      </c>
    </row>
    <row r="922" spans="1:5" ht="15">
      <c r="A922" s="431"/>
      <c r="B922" s="433">
        <v>43587</v>
      </c>
      <c r="C922" s="431" t="s">
        <v>795</v>
      </c>
      <c r="D922" s="434">
        <v>0</v>
      </c>
      <c r="E922" s="434">
        <v>-359544</v>
      </c>
    </row>
    <row r="923" spans="1:5" ht="15">
      <c r="A923" s="431"/>
      <c r="B923" s="432" t="s">
        <v>464</v>
      </c>
      <c r="C923" s="432"/>
      <c r="D923" s="434">
        <v>0</v>
      </c>
      <c r="E923" s="434">
        <v>-359544</v>
      </c>
    </row>
    <row r="924" spans="1:5" ht="30">
      <c r="A924" s="435" t="s">
        <v>509</v>
      </c>
      <c r="B924" s="435"/>
      <c r="C924" s="435"/>
      <c r="D924" s="436">
        <v>85882168</v>
      </c>
      <c r="E924" s="436">
        <v>95788968</v>
      </c>
    </row>
    <row r="925" spans="1:5" ht="15">
      <c r="A925" s="431" t="s">
        <v>796</v>
      </c>
      <c r="B925" s="433">
        <v>43539</v>
      </c>
      <c r="C925" s="431" t="s">
        <v>797</v>
      </c>
      <c r="D925" s="434">
        <v>100000000</v>
      </c>
      <c r="E925" s="434">
        <v>200000000</v>
      </c>
    </row>
    <row r="926" spans="1:5" ht="15">
      <c r="A926" s="431"/>
      <c r="B926" s="431" t="s">
        <v>527</v>
      </c>
      <c r="C926" s="431"/>
      <c r="D926" s="434">
        <v>100000000</v>
      </c>
      <c r="E926" s="434">
        <v>200000000</v>
      </c>
    </row>
    <row r="927" spans="1:5" ht="15">
      <c r="A927" s="438" t="s">
        <v>798</v>
      </c>
      <c r="B927" s="438"/>
      <c r="C927" s="438"/>
      <c r="D927" s="436">
        <v>100000000</v>
      </c>
      <c r="E927" s="436">
        <v>200000000</v>
      </c>
    </row>
    <row r="928" spans="1:5" ht="15">
      <c r="A928"/>
      <c r="B928"/>
      <c r="C928" s="539"/>
      <c r="D928"/>
      <c r="E928"/>
    </row>
    <row r="929" spans="1:5" ht="15">
      <c r="A929"/>
      <c r="B929"/>
      <c r="C929" s="539"/>
      <c r="D929"/>
      <c r="E929"/>
    </row>
    <row r="930" spans="1:5" ht="15">
      <c r="A930"/>
      <c r="B930"/>
      <c r="C930" s="539"/>
      <c r="D930"/>
      <c r="E930"/>
    </row>
    <row r="931" spans="1:5" ht="15">
      <c r="A931"/>
      <c r="B931"/>
      <c r="C931" s="539"/>
      <c r="D931"/>
      <c r="E931"/>
    </row>
    <row r="932" spans="1:5" ht="15">
      <c r="A932"/>
      <c r="B932"/>
      <c r="C932" s="539"/>
      <c r="D932"/>
      <c r="E932"/>
    </row>
    <row r="933" spans="1:5" ht="15">
      <c r="A933"/>
      <c r="B933"/>
      <c r="C933" s="539"/>
      <c r="D933"/>
      <c r="E933"/>
    </row>
    <row r="934" spans="1:5" ht="15">
      <c r="A934"/>
      <c r="B934"/>
      <c r="C934" s="539"/>
      <c r="D934"/>
      <c r="E934"/>
    </row>
    <row r="935" spans="1:5" ht="15">
      <c r="A935"/>
      <c r="B935"/>
      <c r="C935" s="539"/>
      <c r="D935"/>
      <c r="E935"/>
    </row>
    <row r="936" spans="1:5" ht="15">
      <c r="A936"/>
      <c r="B936"/>
      <c r="C936" s="539"/>
      <c r="D936"/>
      <c r="E936"/>
    </row>
    <row r="937" spans="1:5" ht="15">
      <c r="A937"/>
      <c r="B937"/>
      <c r="C937" s="539"/>
      <c r="D937"/>
      <c r="E937"/>
    </row>
    <row r="938" spans="1:5" ht="15">
      <c r="A938"/>
      <c r="B938"/>
      <c r="C938" s="539"/>
      <c r="D938"/>
      <c r="E938"/>
    </row>
    <row r="939" spans="1:5" ht="15">
      <c r="A939"/>
      <c r="B939"/>
      <c r="C939" s="539"/>
      <c r="D939"/>
      <c r="E939"/>
    </row>
    <row r="940" spans="1:5" ht="15">
      <c r="A940"/>
      <c r="B940"/>
      <c r="C940" s="539"/>
      <c r="D940"/>
      <c r="E940"/>
    </row>
    <row r="941" spans="1:5" ht="15">
      <c r="A941"/>
      <c r="B941"/>
      <c r="C941" s="539"/>
      <c r="D941"/>
      <c r="E941"/>
    </row>
    <row r="942" spans="1:5" ht="15">
      <c r="A942"/>
      <c r="B942"/>
      <c r="C942" s="539"/>
      <c r="D942"/>
      <c r="E942"/>
    </row>
    <row r="943" spans="1:5" ht="15">
      <c r="A943"/>
      <c r="B943"/>
      <c r="C943" s="539"/>
      <c r="D943"/>
      <c r="E943"/>
    </row>
    <row r="944" spans="1:5" ht="15">
      <c r="A944"/>
      <c r="B944"/>
      <c r="C944" s="539"/>
      <c r="D944"/>
      <c r="E944"/>
    </row>
    <row r="945" spans="1:5" ht="15">
      <c r="A945"/>
      <c r="B945"/>
      <c r="C945" s="539"/>
      <c r="D945"/>
      <c r="E945"/>
    </row>
    <row r="946" spans="1:5" ht="15">
      <c r="A946"/>
      <c r="B946"/>
      <c r="C946" s="539"/>
      <c r="D946"/>
      <c r="E946"/>
    </row>
    <row r="947" spans="1:5" ht="15">
      <c r="A947"/>
      <c r="B947"/>
      <c r="C947" s="539"/>
      <c r="D947"/>
      <c r="E947"/>
    </row>
    <row r="948" spans="1:5" ht="15">
      <c r="A948"/>
      <c r="B948"/>
      <c r="C948" s="539"/>
      <c r="D948"/>
      <c r="E948"/>
    </row>
    <row r="949" spans="1:5" ht="15">
      <c r="A949"/>
      <c r="B949"/>
      <c r="C949" s="539"/>
      <c r="D949"/>
      <c r="E949"/>
    </row>
    <row r="950" spans="1:5" ht="15">
      <c r="A950"/>
      <c r="B950"/>
      <c r="C950" s="539"/>
      <c r="D950"/>
      <c r="E950"/>
    </row>
    <row r="951" spans="1:5" ht="15">
      <c r="A951"/>
      <c r="B951"/>
      <c r="C951" s="539"/>
      <c r="D951"/>
      <c r="E951"/>
    </row>
    <row r="952" spans="1:5" ht="15">
      <c r="A952"/>
      <c r="B952"/>
      <c r="C952" s="539"/>
      <c r="D952"/>
      <c r="E952"/>
    </row>
    <row r="953" spans="1:5" ht="15">
      <c r="A953"/>
      <c r="B953"/>
      <c r="C953" s="539"/>
      <c r="D953"/>
      <c r="E953"/>
    </row>
    <row r="954" spans="1:5" ht="15">
      <c r="A954"/>
      <c r="B954"/>
      <c r="C954" s="539"/>
      <c r="D954"/>
      <c r="E954"/>
    </row>
    <row r="955" spans="1:5" ht="15">
      <c r="A955"/>
      <c r="B955"/>
      <c r="C955" s="539"/>
      <c r="D955"/>
      <c r="E955"/>
    </row>
    <row r="956" spans="1:5" ht="15">
      <c r="A956"/>
      <c r="B956"/>
      <c r="C956" s="539"/>
      <c r="D956"/>
      <c r="E956"/>
    </row>
    <row r="957" spans="1:5" ht="15">
      <c r="A957"/>
      <c r="B957"/>
      <c r="C957" s="539"/>
      <c r="D957"/>
      <c r="E957"/>
    </row>
    <row r="958" spans="1:5" ht="15">
      <c r="A958"/>
      <c r="B958"/>
      <c r="C958" s="539"/>
      <c r="D958"/>
      <c r="E958"/>
    </row>
    <row r="959" spans="1:5" ht="15">
      <c r="A959"/>
      <c r="B959"/>
      <c r="C959" s="539"/>
      <c r="D959"/>
      <c r="E959"/>
    </row>
    <row r="960" spans="1:5" ht="15">
      <c r="A960"/>
      <c r="B960"/>
      <c r="C960" s="539"/>
      <c r="D960"/>
      <c r="E960"/>
    </row>
    <row r="961" spans="1:5" ht="15">
      <c r="A961"/>
      <c r="B961"/>
      <c r="C961" s="539"/>
      <c r="D961"/>
      <c r="E961"/>
    </row>
    <row r="962" spans="1:5" ht="15">
      <c r="A962"/>
      <c r="B962"/>
      <c r="C962" s="539"/>
      <c r="D962"/>
      <c r="E962"/>
    </row>
    <row r="963" spans="1:5" ht="15">
      <c r="A963"/>
      <c r="B963"/>
      <c r="C963" s="539"/>
      <c r="D963"/>
      <c r="E963"/>
    </row>
    <row r="964" spans="1:5" ht="15">
      <c r="A964"/>
      <c r="B964"/>
      <c r="C964" s="539"/>
      <c r="D964"/>
      <c r="E964"/>
    </row>
    <row r="965" spans="1:5" ht="15">
      <c r="A965"/>
      <c r="B965"/>
      <c r="C965" s="539"/>
      <c r="D965"/>
      <c r="E965"/>
    </row>
    <row r="966" spans="1:5" ht="15">
      <c r="A966"/>
      <c r="B966"/>
      <c r="C966" s="539"/>
      <c r="D966"/>
      <c r="E966"/>
    </row>
    <row r="967" spans="1:5" ht="15">
      <c r="A967"/>
      <c r="B967"/>
      <c r="C967" s="539"/>
      <c r="D967"/>
      <c r="E967"/>
    </row>
    <row r="968" spans="1:5" ht="15">
      <c r="A968"/>
      <c r="B968"/>
      <c r="C968" s="539"/>
      <c r="D968"/>
      <c r="E968"/>
    </row>
    <row r="969" spans="1:5" ht="15">
      <c r="A969"/>
      <c r="B969"/>
      <c r="C969" s="539"/>
      <c r="D969"/>
      <c r="E969"/>
    </row>
    <row r="970" spans="1:5" ht="15">
      <c r="A970"/>
      <c r="B970"/>
      <c r="C970" s="539"/>
      <c r="D970"/>
      <c r="E970"/>
    </row>
    <row r="971" spans="1:5" ht="15">
      <c r="A971"/>
      <c r="B971"/>
      <c r="C971" s="539"/>
      <c r="D971"/>
      <c r="E971"/>
    </row>
    <row r="972" spans="1:5" ht="15">
      <c r="A972"/>
      <c r="B972"/>
      <c r="C972" s="539"/>
      <c r="D972"/>
      <c r="E972"/>
    </row>
    <row r="973" spans="1:5" ht="15">
      <c r="A973"/>
      <c r="B973"/>
      <c r="C973" s="539"/>
      <c r="D973"/>
      <c r="E973"/>
    </row>
    <row r="974" spans="1:5" ht="15">
      <c r="A974"/>
      <c r="B974"/>
      <c r="C974" s="539"/>
      <c r="D974"/>
      <c r="E974"/>
    </row>
    <row r="975" spans="1:5" ht="15">
      <c r="A975"/>
      <c r="B975"/>
      <c r="C975" s="539"/>
      <c r="D975"/>
      <c r="E975"/>
    </row>
    <row r="976" spans="1:5" ht="15">
      <c r="A976"/>
      <c r="B976"/>
      <c r="C976" s="539"/>
      <c r="D976"/>
      <c r="E976"/>
    </row>
    <row r="977" spans="1:5" ht="15">
      <c r="A977"/>
      <c r="B977"/>
      <c r="C977" s="539"/>
      <c r="D977"/>
      <c r="E977"/>
    </row>
    <row r="978" spans="1:5" ht="15">
      <c r="A978"/>
      <c r="B978"/>
      <c r="C978" s="539"/>
      <c r="D978"/>
      <c r="E978"/>
    </row>
    <row r="979" spans="1:5" ht="15">
      <c r="A979"/>
      <c r="B979"/>
      <c r="C979" s="539"/>
      <c r="D979"/>
      <c r="E979"/>
    </row>
    <row r="980" spans="1:5" ht="15">
      <c r="A980"/>
      <c r="B980"/>
      <c r="C980" s="539"/>
      <c r="D980"/>
      <c r="E980"/>
    </row>
    <row r="981" spans="1:5" ht="15">
      <c r="A981"/>
      <c r="B981"/>
      <c r="C981" s="539"/>
      <c r="D981"/>
      <c r="E981"/>
    </row>
    <row r="982" spans="1:5" ht="15">
      <c r="A982"/>
      <c r="B982"/>
      <c r="C982" s="539"/>
      <c r="D982"/>
      <c r="E982"/>
    </row>
    <row r="983" spans="1:5" ht="15">
      <c r="A983"/>
      <c r="B983"/>
      <c r="C983" s="539"/>
      <c r="D983"/>
      <c r="E983"/>
    </row>
    <row r="984" spans="1:5" ht="15">
      <c r="A984"/>
      <c r="B984"/>
      <c r="C984" s="539"/>
      <c r="D984"/>
      <c r="E984"/>
    </row>
    <row r="985" spans="1:5" ht="15">
      <c r="A985"/>
      <c r="B985"/>
      <c r="C985" s="539"/>
      <c r="D985"/>
      <c r="E985"/>
    </row>
    <row r="986" spans="1:5" ht="15">
      <c r="A986"/>
      <c r="B986"/>
      <c r="C986" s="539"/>
      <c r="D986"/>
      <c r="E986"/>
    </row>
    <row r="987" spans="1:5" ht="15">
      <c r="A987"/>
      <c r="B987"/>
      <c r="C987" s="539"/>
      <c r="D987"/>
      <c r="E987"/>
    </row>
    <row r="988" spans="1:5" ht="15">
      <c r="A988"/>
      <c r="B988"/>
      <c r="C988" s="539"/>
      <c r="D988"/>
      <c r="E988"/>
    </row>
    <row r="989" spans="1:5" ht="15">
      <c r="A989"/>
      <c r="B989"/>
      <c r="C989" s="539"/>
      <c r="D989"/>
      <c r="E989"/>
    </row>
    <row r="990" spans="1:5" ht="15">
      <c r="A990"/>
      <c r="B990"/>
      <c r="C990" s="539"/>
      <c r="D990"/>
      <c r="E990"/>
    </row>
    <row r="991" spans="1:5" ht="15">
      <c r="A991"/>
      <c r="B991"/>
      <c r="C991" s="539"/>
      <c r="D991"/>
      <c r="E991"/>
    </row>
    <row r="992" spans="1:5" ht="15">
      <c r="A992"/>
      <c r="B992"/>
      <c r="C992" s="539"/>
      <c r="D992"/>
      <c r="E992"/>
    </row>
    <row r="993" spans="1:5" ht="15">
      <c r="A993"/>
      <c r="B993"/>
      <c r="C993" s="539"/>
      <c r="D993"/>
      <c r="E993"/>
    </row>
    <row r="994" spans="1:5" ht="15">
      <c r="A994"/>
      <c r="B994"/>
      <c r="C994" s="539"/>
      <c r="D994"/>
      <c r="E994"/>
    </row>
    <row r="995" spans="1:5" ht="15">
      <c r="A995"/>
      <c r="B995"/>
      <c r="C995" s="539"/>
      <c r="D995"/>
      <c r="E995"/>
    </row>
    <row r="996" spans="1:5" ht="15">
      <c r="A996"/>
      <c r="B996"/>
      <c r="C996" s="539"/>
      <c r="D996"/>
      <c r="E996"/>
    </row>
    <row r="997" spans="1:5" ht="15">
      <c r="A997"/>
      <c r="B997"/>
      <c r="C997" s="539"/>
      <c r="D997"/>
      <c r="E997"/>
    </row>
    <row r="998" spans="1:5" ht="15">
      <c r="A998"/>
      <c r="B998"/>
      <c r="C998" s="539"/>
      <c r="D998"/>
      <c r="E998"/>
    </row>
    <row r="999" spans="1:5" ht="15">
      <c r="A999"/>
      <c r="B999"/>
      <c r="C999" s="539"/>
      <c r="D999"/>
      <c r="E999"/>
    </row>
    <row r="1000" spans="1:5" ht="15">
      <c r="A1000"/>
      <c r="B1000"/>
      <c r="C1000" s="539"/>
      <c r="D1000"/>
      <c r="E1000"/>
    </row>
    <row r="1001" spans="1:5" ht="15">
      <c r="A1001"/>
      <c r="B1001"/>
      <c r="C1001" s="539"/>
      <c r="D1001"/>
      <c r="E1001"/>
    </row>
    <row r="1002" spans="1:5" ht="15">
      <c r="A1002"/>
      <c r="B1002"/>
      <c r="C1002" s="539"/>
      <c r="D1002"/>
      <c r="E1002"/>
    </row>
    <row r="1003" spans="1:5" ht="15">
      <c r="A1003"/>
      <c r="B1003"/>
      <c r="C1003" s="539"/>
      <c r="D1003"/>
      <c r="E1003"/>
    </row>
    <row r="1004" spans="1:5" ht="15">
      <c r="A1004"/>
      <c r="B1004"/>
      <c r="C1004" s="539"/>
      <c r="D1004"/>
      <c r="E1004"/>
    </row>
    <row r="1005" spans="1:5" ht="15">
      <c r="A1005"/>
      <c r="B1005"/>
      <c r="C1005" s="539"/>
      <c r="D1005"/>
      <c r="E1005"/>
    </row>
    <row r="1006" spans="1:5" ht="15">
      <c r="A1006"/>
      <c r="B1006"/>
      <c r="C1006" s="539"/>
      <c r="D1006"/>
      <c r="E1006"/>
    </row>
    <row r="1007" spans="1:5" ht="15">
      <c r="A1007"/>
      <c r="B1007"/>
      <c r="C1007" s="539"/>
      <c r="D1007"/>
      <c r="E1007"/>
    </row>
    <row r="1008" spans="1:5" ht="15">
      <c r="A1008"/>
      <c r="B1008"/>
      <c r="C1008" s="539"/>
      <c r="D1008"/>
      <c r="E1008"/>
    </row>
    <row r="1009" spans="1:5" ht="15">
      <c r="A1009"/>
      <c r="B1009"/>
      <c r="C1009" s="539"/>
      <c r="D1009"/>
      <c r="E1009"/>
    </row>
    <row r="1010" spans="1:5" ht="15">
      <c r="A1010"/>
      <c r="B1010"/>
      <c r="C1010" s="539"/>
      <c r="D1010"/>
      <c r="E1010"/>
    </row>
    <row r="1011" spans="1:5" ht="15">
      <c r="A1011"/>
      <c r="B1011"/>
      <c r="C1011" s="539"/>
      <c r="D1011"/>
      <c r="E1011"/>
    </row>
    <row r="1012" spans="1:5" ht="15">
      <c r="A1012"/>
      <c r="B1012"/>
      <c r="C1012" s="539"/>
      <c r="D1012"/>
      <c r="E1012"/>
    </row>
    <row r="1013" spans="1:5" ht="15">
      <c r="A1013"/>
      <c r="B1013"/>
      <c r="C1013" s="539"/>
      <c r="D1013"/>
      <c r="E1013"/>
    </row>
    <row r="1014" spans="1:5" ht="15">
      <c r="A1014"/>
      <c r="B1014"/>
      <c r="C1014" s="539"/>
      <c r="D1014"/>
      <c r="E1014"/>
    </row>
    <row r="1015" spans="1:5" ht="15">
      <c r="A1015"/>
      <c r="B1015"/>
      <c r="C1015" s="539"/>
      <c r="D1015"/>
      <c r="E1015"/>
    </row>
    <row r="1016" spans="1:5" ht="15">
      <c r="A1016"/>
      <c r="B1016"/>
      <c r="C1016" s="539"/>
      <c r="D1016"/>
      <c r="E1016"/>
    </row>
    <row r="1017" spans="1:5" ht="15">
      <c r="A1017"/>
      <c r="B1017"/>
      <c r="C1017" s="539"/>
      <c r="D1017"/>
      <c r="E1017"/>
    </row>
    <row r="1018" spans="1:5" ht="15">
      <c r="A1018"/>
      <c r="B1018"/>
      <c r="C1018" s="539"/>
      <c r="D1018"/>
      <c r="E1018"/>
    </row>
    <row r="1019" spans="1:5" ht="15">
      <c r="A1019"/>
      <c r="B1019"/>
      <c r="C1019" s="539"/>
      <c r="D1019"/>
      <c r="E1019"/>
    </row>
    <row r="1020" spans="1:5" ht="15">
      <c r="A1020"/>
      <c r="B1020"/>
      <c r="C1020" s="539"/>
      <c r="D1020"/>
      <c r="E1020"/>
    </row>
    <row r="1021" spans="1:5" ht="15">
      <c r="A1021"/>
      <c r="B1021"/>
      <c r="C1021" s="539"/>
      <c r="D1021"/>
      <c r="E1021"/>
    </row>
    <row r="1022" spans="1:5" ht="15">
      <c r="A1022"/>
      <c r="B1022"/>
      <c r="C1022" s="539"/>
      <c r="D1022"/>
      <c r="E1022"/>
    </row>
    <row r="1023" spans="1:5" ht="15">
      <c r="A1023"/>
      <c r="B1023"/>
      <c r="C1023" s="539"/>
      <c r="D1023"/>
      <c r="E1023"/>
    </row>
    <row r="1024" spans="1:5" ht="15">
      <c r="A1024"/>
      <c r="B1024"/>
      <c r="C1024" s="539"/>
      <c r="D1024"/>
      <c r="E1024"/>
    </row>
    <row r="1025" spans="1:5" ht="15">
      <c r="A1025"/>
      <c r="B1025"/>
      <c r="C1025" s="539"/>
      <c r="D1025"/>
      <c r="E1025"/>
    </row>
    <row r="1026" spans="1:5" ht="15">
      <c r="A1026"/>
      <c r="B1026"/>
      <c r="C1026" s="539"/>
      <c r="D1026"/>
      <c r="E1026"/>
    </row>
    <row r="1027" spans="1:5" ht="15">
      <c r="A1027"/>
      <c r="B1027"/>
      <c r="C1027" s="539"/>
      <c r="D1027"/>
      <c r="E1027"/>
    </row>
    <row r="1028" spans="1:5" ht="15">
      <c r="A1028"/>
      <c r="B1028"/>
      <c r="C1028" s="539"/>
      <c r="D1028"/>
      <c r="E1028"/>
    </row>
    <row r="1029" spans="1:5" ht="15">
      <c r="A1029"/>
      <c r="B1029"/>
      <c r="C1029" s="539"/>
      <c r="D1029"/>
      <c r="E1029"/>
    </row>
    <row r="1030" spans="1:5" ht="15">
      <c r="A1030"/>
      <c r="B1030"/>
      <c r="C1030" s="539"/>
      <c r="D1030"/>
      <c r="E1030"/>
    </row>
    <row r="1031" spans="1:5" ht="15">
      <c r="A1031"/>
      <c r="B1031"/>
      <c r="C1031" s="539"/>
      <c r="D1031"/>
      <c r="E1031"/>
    </row>
    <row r="1032" spans="1:5" ht="15">
      <c r="A1032"/>
      <c r="B1032"/>
      <c r="C1032" s="539"/>
      <c r="D1032"/>
      <c r="E1032"/>
    </row>
    <row r="1033" spans="1:5" ht="15">
      <c r="A1033"/>
      <c r="B1033"/>
      <c r="C1033" s="539"/>
      <c r="D1033"/>
      <c r="E1033"/>
    </row>
    <row r="1034" spans="1:5" ht="15">
      <c r="A1034"/>
      <c r="B1034"/>
      <c r="C1034" s="539"/>
      <c r="D1034"/>
      <c r="E1034"/>
    </row>
    <row r="1035" spans="1:5" ht="15">
      <c r="A1035"/>
      <c r="B1035"/>
      <c r="C1035" s="539"/>
      <c r="D1035"/>
      <c r="E1035"/>
    </row>
    <row r="1036" spans="1:5" ht="15">
      <c r="A1036"/>
      <c r="B1036"/>
      <c r="C1036" s="539"/>
      <c r="D1036"/>
      <c r="E1036"/>
    </row>
    <row r="1037" spans="1:5" ht="15">
      <c r="A1037"/>
      <c r="B1037"/>
      <c r="C1037" s="539"/>
      <c r="D1037"/>
      <c r="E1037"/>
    </row>
    <row r="1038" spans="1:5" ht="15">
      <c r="A1038"/>
      <c r="B1038"/>
      <c r="C1038" s="539"/>
      <c r="D1038"/>
      <c r="E1038"/>
    </row>
    <row r="1039" spans="1:5" ht="15">
      <c r="A1039"/>
      <c r="B1039"/>
      <c r="C1039" s="539"/>
      <c r="D1039"/>
      <c r="E1039"/>
    </row>
    <row r="1040" spans="1:5" ht="15">
      <c r="A1040"/>
      <c r="B1040"/>
      <c r="C1040" s="539"/>
      <c r="D1040"/>
      <c r="E1040"/>
    </row>
    <row r="1041" spans="1:5" ht="15">
      <c r="A1041"/>
      <c r="B1041"/>
      <c r="C1041" s="539"/>
      <c r="D1041"/>
      <c r="E1041"/>
    </row>
    <row r="1042" spans="1:5" ht="15">
      <c r="A1042"/>
      <c r="B1042"/>
      <c r="C1042" s="539"/>
      <c r="D1042"/>
      <c r="E1042"/>
    </row>
    <row r="1043" spans="1:5" ht="15">
      <c r="A1043"/>
      <c r="B1043"/>
      <c r="C1043" s="539"/>
      <c r="D1043"/>
      <c r="E1043"/>
    </row>
    <row r="1044" spans="1:5" ht="15">
      <c r="A1044"/>
      <c r="B1044"/>
      <c r="C1044" s="539"/>
      <c r="D1044"/>
      <c r="E1044"/>
    </row>
    <row r="1045" spans="1:5" ht="15">
      <c r="A1045"/>
      <c r="B1045"/>
      <c r="C1045" s="539"/>
      <c r="D1045"/>
      <c r="E1045"/>
    </row>
    <row r="1046" spans="1:5" ht="15">
      <c r="A1046"/>
      <c r="B1046"/>
      <c r="C1046" s="539"/>
      <c r="D1046"/>
      <c r="E1046"/>
    </row>
    <row r="1047" spans="1:5" ht="15">
      <c r="A1047"/>
      <c r="B1047"/>
      <c r="C1047" s="539"/>
      <c r="D1047"/>
      <c r="E1047"/>
    </row>
    <row r="1048" spans="1:5" ht="15">
      <c r="A1048"/>
      <c r="B1048"/>
      <c r="C1048" s="539"/>
      <c r="D1048"/>
      <c r="E1048"/>
    </row>
    <row r="1049" spans="1:5" ht="15">
      <c r="A1049"/>
      <c r="B1049"/>
      <c r="C1049" s="539"/>
      <c r="D1049"/>
      <c r="E1049"/>
    </row>
    <row r="1050" spans="1:5" ht="15">
      <c r="A1050"/>
      <c r="B1050"/>
      <c r="C1050" s="539"/>
      <c r="D1050"/>
      <c r="E1050"/>
    </row>
    <row r="1051" spans="1:5" ht="15">
      <c r="A1051"/>
      <c r="B1051"/>
      <c r="C1051" s="539"/>
      <c r="D1051"/>
      <c r="E1051"/>
    </row>
    <row r="1052" spans="1:5" ht="15">
      <c r="A1052"/>
      <c r="B1052"/>
      <c r="C1052" s="539"/>
      <c r="D1052"/>
      <c r="E1052"/>
    </row>
    <row r="1053" spans="1:5" ht="15">
      <c r="A1053"/>
      <c r="B1053"/>
      <c r="C1053" s="539"/>
      <c r="D1053"/>
      <c r="E1053"/>
    </row>
    <row r="1054" spans="1:5" ht="15">
      <c r="A1054"/>
      <c r="B1054"/>
      <c r="C1054" s="539"/>
      <c r="D1054"/>
      <c r="E1054"/>
    </row>
    <row r="1055" spans="1:5" ht="15">
      <c r="A1055"/>
      <c r="B1055"/>
      <c r="C1055" s="539"/>
      <c r="D1055"/>
      <c r="E1055"/>
    </row>
    <row r="1056" spans="1:5" ht="15">
      <c r="A1056"/>
      <c r="B1056"/>
      <c r="C1056" s="539"/>
      <c r="D1056"/>
      <c r="E1056"/>
    </row>
    <row r="1057" spans="1:5" ht="15">
      <c r="A1057"/>
      <c r="B1057"/>
      <c r="C1057" s="539"/>
      <c r="D1057"/>
      <c r="E1057"/>
    </row>
    <row r="1058" spans="1:5" ht="15">
      <c r="A1058"/>
      <c r="B1058"/>
      <c r="C1058" s="539"/>
      <c r="D1058"/>
      <c r="E1058"/>
    </row>
    <row r="1059" spans="1:5" ht="15">
      <c r="A1059"/>
      <c r="B1059"/>
      <c r="C1059" s="539"/>
      <c r="D1059"/>
      <c r="E1059"/>
    </row>
    <row r="1060" spans="1:5" ht="15">
      <c r="A1060"/>
      <c r="B1060"/>
      <c r="C1060" s="539"/>
      <c r="D1060"/>
      <c r="E1060"/>
    </row>
    <row r="1061" spans="1:5" ht="15">
      <c r="A1061"/>
      <c r="B1061"/>
      <c r="C1061" s="539"/>
      <c r="D1061"/>
      <c r="E1061"/>
    </row>
    <row r="1062" spans="1:5" ht="15">
      <c r="A1062"/>
      <c r="B1062"/>
      <c r="C1062" s="539"/>
      <c r="D1062"/>
      <c r="E1062"/>
    </row>
    <row r="1063" spans="1:5" ht="15">
      <c r="A1063"/>
      <c r="B1063"/>
      <c r="C1063" s="539"/>
      <c r="D1063"/>
      <c r="E1063"/>
    </row>
    <row r="1064" spans="1:5" ht="15">
      <c r="A1064"/>
      <c r="B1064"/>
      <c r="C1064" s="539"/>
      <c r="D1064"/>
      <c r="E1064"/>
    </row>
    <row r="1065" spans="1:5" ht="15">
      <c r="A1065"/>
      <c r="B1065"/>
      <c r="C1065" s="539"/>
      <c r="D1065"/>
      <c r="E1065"/>
    </row>
    <row r="1066" spans="1:5" ht="15">
      <c r="A1066"/>
      <c r="B1066"/>
      <c r="C1066" s="539"/>
      <c r="D1066"/>
      <c r="E1066"/>
    </row>
    <row r="1067" spans="1:5" ht="15">
      <c r="A1067"/>
      <c r="B1067"/>
      <c r="C1067" s="539"/>
      <c r="D1067"/>
      <c r="E1067"/>
    </row>
    <row r="1068" spans="1:5" ht="15">
      <c r="A1068"/>
      <c r="B1068"/>
      <c r="C1068" s="539"/>
      <c r="D1068"/>
      <c r="E1068"/>
    </row>
    <row r="1069" spans="1:5" ht="15">
      <c r="A1069"/>
      <c r="B1069"/>
      <c r="C1069" s="539"/>
      <c r="D1069"/>
      <c r="E1069"/>
    </row>
    <row r="1070" spans="1:5" ht="15">
      <c r="A1070"/>
      <c r="B1070"/>
      <c r="C1070" s="539"/>
      <c r="D1070"/>
      <c r="E1070"/>
    </row>
    <row r="1071" spans="1:5" ht="15">
      <c r="A1071"/>
      <c r="B1071"/>
      <c r="C1071" s="539"/>
      <c r="D1071"/>
      <c r="E1071"/>
    </row>
    <row r="1072" spans="1:5" ht="15">
      <c r="A1072"/>
      <c r="B1072"/>
      <c r="C1072" s="539"/>
      <c r="D1072"/>
      <c r="E1072"/>
    </row>
    <row r="1073" spans="1:5" ht="15">
      <c r="A1073"/>
      <c r="B1073"/>
      <c r="C1073" s="539"/>
      <c r="D1073"/>
      <c r="E1073"/>
    </row>
    <row r="1074" spans="1:5" ht="15">
      <c r="A1074"/>
      <c r="B1074"/>
      <c r="C1074" s="539"/>
      <c r="D1074"/>
      <c r="E1074"/>
    </row>
    <row r="1075" spans="1:5" ht="15">
      <c r="A1075"/>
      <c r="B1075"/>
      <c r="C1075" s="539"/>
      <c r="D1075"/>
      <c r="E1075"/>
    </row>
    <row r="1076" spans="1:5" ht="15">
      <c r="A1076"/>
      <c r="B1076"/>
      <c r="C1076" s="539"/>
      <c r="D1076"/>
      <c r="E1076"/>
    </row>
    <row r="1077" spans="1:5" ht="15">
      <c r="A1077"/>
      <c r="B1077"/>
      <c r="C1077" s="539"/>
      <c r="D1077"/>
      <c r="E1077"/>
    </row>
    <row r="1078" spans="1:5" ht="15">
      <c r="A1078"/>
      <c r="B1078"/>
      <c r="C1078" s="539"/>
      <c r="D1078"/>
      <c r="E1078"/>
    </row>
    <row r="1079" spans="1:5" ht="15">
      <c r="A1079"/>
      <c r="B1079"/>
      <c r="C1079" s="539"/>
      <c r="D1079"/>
      <c r="E1079"/>
    </row>
    <row r="1080" spans="1:5" ht="15">
      <c r="A1080"/>
      <c r="B1080"/>
      <c r="C1080" s="539"/>
      <c r="D1080"/>
      <c r="E1080"/>
    </row>
    <row r="1081" spans="1:5" ht="15">
      <c r="A1081"/>
      <c r="B1081"/>
      <c r="C1081" s="539"/>
      <c r="D1081"/>
      <c r="E1081"/>
    </row>
    <row r="1082" spans="1:5" ht="15">
      <c r="A1082"/>
      <c r="B1082"/>
      <c r="C1082" s="539"/>
      <c r="D1082"/>
      <c r="E1082"/>
    </row>
    <row r="1083" spans="1:5" ht="15">
      <c r="A1083"/>
      <c r="B1083"/>
      <c r="C1083" s="539"/>
      <c r="D1083"/>
      <c r="E1083"/>
    </row>
    <row r="1084" spans="1:5" ht="15">
      <c r="A1084"/>
      <c r="B1084"/>
      <c r="C1084" s="539"/>
      <c r="D1084"/>
      <c r="E1084"/>
    </row>
    <row r="1085" spans="1:5" ht="15">
      <c r="A1085"/>
      <c r="B1085"/>
      <c r="C1085" s="539"/>
      <c r="D1085"/>
      <c r="E1085"/>
    </row>
    <row r="1086" spans="1:5" ht="15">
      <c r="A1086"/>
      <c r="B1086"/>
      <c r="C1086" s="539"/>
      <c r="D1086"/>
      <c r="E1086"/>
    </row>
    <row r="1087" spans="1:5" ht="15">
      <c r="A1087"/>
      <c r="B1087"/>
      <c r="C1087" s="539"/>
      <c r="D1087"/>
      <c r="E1087"/>
    </row>
    <row r="1088" spans="1:5" ht="15">
      <c r="A1088"/>
      <c r="B1088"/>
      <c r="C1088" s="539"/>
      <c r="D1088"/>
      <c r="E1088"/>
    </row>
    <row r="1089" spans="1:5" ht="15">
      <c r="A1089"/>
      <c r="B1089"/>
      <c r="C1089" s="539"/>
      <c r="D1089"/>
      <c r="E1089"/>
    </row>
    <row r="1090" spans="1:5" ht="15">
      <c r="A1090"/>
      <c r="B1090"/>
      <c r="C1090" s="539"/>
      <c r="D1090"/>
      <c r="E1090"/>
    </row>
    <row r="1091" spans="1:5" ht="15">
      <c r="A1091"/>
      <c r="B1091"/>
      <c r="C1091" s="539"/>
      <c r="D1091"/>
      <c r="E1091"/>
    </row>
    <row r="1092" spans="1:5" ht="15">
      <c r="A1092"/>
      <c r="B1092"/>
      <c r="C1092" s="539"/>
      <c r="D1092"/>
      <c r="E1092"/>
    </row>
    <row r="1093" spans="1:5" ht="15">
      <c r="A1093"/>
      <c r="B1093"/>
      <c r="C1093" s="539"/>
      <c r="D1093"/>
      <c r="E1093"/>
    </row>
    <row r="1094" spans="1:5" ht="15">
      <c r="A1094"/>
      <c r="B1094"/>
      <c r="C1094" s="539"/>
      <c r="D1094"/>
      <c r="E1094"/>
    </row>
    <row r="1095" spans="1:5" ht="15">
      <c r="A1095"/>
      <c r="B1095"/>
      <c r="C1095" s="539"/>
      <c r="D1095"/>
      <c r="E1095"/>
    </row>
    <row r="1096" spans="1:5" ht="15">
      <c r="A1096"/>
      <c r="B1096"/>
      <c r="C1096" s="539"/>
      <c r="D1096"/>
      <c r="E1096"/>
    </row>
    <row r="1097" spans="1:5" ht="15">
      <c r="A1097"/>
      <c r="B1097"/>
      <c r="C1097" s="539"/>
      <c r="D1097"/>
      <c r="E1097"/>
    </row>
    <row r="1098" spans="1:5" ht="15">
      <c r="A1098"/>
      <c r="B1098"/>
      <c r="C1098" s="539"/>
      <c r="D1098"/>
      <c r="E1098"/>
    </row>
    <row r="1099" spans="1:5" ht="15">
      <c r="A1099"/>
      <c r="B1099"/>
      <c r="C1099" s="539"/>
      <c r="D1099"/>
      <c r="E1099"/>
    </row>
    <row r="1100" spans="1:5" ht="15">
      <c r="A1100"/>
      <c r="B1100"/>
      <c r="C1100" s="539"/>
      <c r="D1100"/>
      <c r="E1100"/>
    </row>
    <row r="1101" spans="1:5" ht="15">
      <c r="A1101"/>
      <c r="B1101"/>
      <c r="C1101" s="539"/>
      <c r="D1101"/>
      <c r="E1101"/>
    </row>
    <row r="1102" spans="1:5" ht="15">
      <c r="A1102"/>
      <c r="B1102"/>
      <c r="C1102" s="539"/>
      <c r="D1102"/>
      <c r="E1102"/>
    </row>
    <row r="1103" spans="1:5" ht="15">
      <c r="A1103"/>
      <c r="B1103"/>
      <c r="C1103" s="539"/>
      <c r="D1103"/>
      <c r="E1103"/>
    </row>
    <row r="1104" spans="1:5" ht="15">
      <c r="A1104"/>
      <c r="B1104"/>
      <c r="C1104" s="539"/>
      <c r="D1104"/>
      <c r="E1104"/>
    </row>
    <row r="1105" spans="1:5" ht="15">
      <c r="A1105"/>
      <c r="B1105"/>
      <c r="C1105" s="539"/>
      <c r="D1105"/>
      <c r="E1105"/>
    </row>
    <row r="1106" spans="1:5" ht="15">
      <c r="A1106"/>
      <c r="B1106"/>
      <c r="C1106" s="539"/>
      <c r="D1106"/>
      <c r="E1106"/>
    </row>
    <row r="1107" spans="1:5" ht="15">
      <c r="A1107"/>
      <c r="B1107"/>
      <c r="C1107" s="539"/>
      <c r="D1107"/>
      <c r="E1107"/>
    </row>
    <row r="1108" spans="1:5" ht="15">
      <c r="A1108"/>
      <c r="B1108"/>
      <c r="C1108" s="539"/>
      <c r="D1108"/>
      <c r="E1108"/>
    </row>
    <row r="1109" spans="1:5" ht="15">
      <c r="A1109"/>
      <c r="B1109"/>
      <c r="C1109" s="539"/>
      <c r="D1109"/>
      <c r="E1109"/>
    </row>
    <row r="1110" spans="1:5" ht="15">
      <c r="A1110"/>
      <c r="B1110"/>
      <c r="C1110" s="539"/>
      <c r="D1110"/>
      <c r="E1110"/>
    </row>
    <row r="1111" spans="1:5" ht="15">
      <c r="A1111"/>
      <c r="B1111"/>
      <c r="C1111" s="539"/>
      <c r="D1111"/>
      <c r="E1111"/>
    </row>
    <row r="1112" spans="1:5" ht="15">
      <c r="A1112"/>
      <c r="B1112"/>
      <c r="C1112" s="539"/>
      <c r="D1112"/>
      <c r="E1112"/>
    </row>
    <row r="1113" spans="1:5" ht="15">
      <c r="A1113"/>
      <c r="B1113"/>
      <c r="C1113" s="539"/>
      <c r="D1113"/>
      <c r="E1113"/>
    </row>
    <row r="1114" spans="1:5" ht="15">
      <c r="A1114"/>
      <c r="B1114"/>
      <c r="C1114" s="539"/>
      <c r="D1114"/>
      <c r="E1114"/>
    </row>
    <row r="1115" spans="1:5" ht="15">
      <c r="A1115"/>
      <c r="B1115"/>
      <c r="C1115" s="539"/>
      <c r="D1115"/>
      <c r="E1115"/>
    </row>
    <row r="1116" spans="1:5" ht="15">
      <c r="A1116"/>
      <c r="B1116"/>
      <c r="C1116" s="539"/>
      <c r="D1116"/>
      <c r="E1116"/>
    </row>
    <row r="1117" spans="1:5" ht="15">
      <c r="A1117"/>
      <c r="B1117"/>
      <c r="C1117" s="539"/>
      <c r="D1117"/>
      <c r="E1117"/>
    </row>
    <row r="1118" spans="1:5" ht="15">
      <c r="A1118"/>
      <c r="B1118"/>
      <c r="C1118" s="539"/>
      <c r="D1118"/>
      <c r="E1118"/>
    </row>
    <row r="1119" spans="1:5" ht="15">
      <c r="A1119"/>
      <c r="B1119"/>
      <c r="C1119" s="539"/>
      <c r="D1119"/>
      <c r="E1119"/>
    </row>
    <row r="1120" spans="1:5" ht="15">
      <c r="A1120"/>
      <c r="B1120"/>
      <c r="C1120" s="539"/>
      <c r="D1120"/>
      <c r="E1120"/>
    </row>
    <row r="1121" spans="1:5" ht="15">
      <c r="A1121"/>
      <c r="B1121"/>
      <c r="C1121" s="539"/>
      <c r="D1121"/>
      <c r="E1121"/>
    </row>
    <row r="1122" spans="1:5" ht="15">
      <c r="A1122"/>
      <c r="B1122"/>
      <c r="C1122" s="539"/>
      <c r="D1122"/>
      <c r="E1122"/>
    </row>
    <row r="1123" spans="1:5" ht="15">
      <c r="A1123"/>
      <c r="B1123"/>
      <c r="C1123" s="539"/>
      <c r="D1123"/>
      <c r="E1123"/>
    </row>
    <row r="1124" spans="1:5" ht="15">
      <c r="A1124"/>
      <c r="B1124"/>
      <c r="C1124" s="539"/>
      <c r="D1124"/>
      <c r="E1124"/>
    </row>
    <row r="1125" spans="1:5" ht="15">
      <c r="A1125"/>
      <c r="B1125"/>
      <c r="C1125" s="539"/>
      <c r="D1125"/>
      <c r="E1125"/>
    </row>
    <row r="1126" spans="1:5" ht="15">
      <c r="A1126"/>
      <c r="B1126"/>
      <c r="C1126" s="539"/>
      <c r="D1126"/>
      <c r="E1126"/>
    </row>
    <row r="1127" spans="1:5" ht="15">
      <c r="A1127"/>
      <c r="B1127"/>
      <c r="C1127" s="539"/>
      <c r="D1127"/>
      <c r="E1127"/>
    </row>
    <row r="1128" spans="1:5" ht="15">
      <c r="A1128"/>
      <c r="B1128"/>
      <c r="C1128" s="539"/>
      <c r="D1128"/>
      <c r="E1128"/>
    </row>
    <row r="1129" spans="1:5" ht="15">
      <c r="A1129"/>
      <c r="B1129"/>
      <c r="C1129" s="539"/>
      <c r="D1129"/>
      <c r="E1129"/>
    </row>
    <row r="1130" spans="1:5" ht="15">
      <c r="A1130"/>
      <c r="B1130"/>
      <c r="C1130" s="539"/>
      <c r="D1130"/>
      <c r="E1130"/>
    </row>
    <row r="1131" spans="1:5" ht="15">
      <c r="A1131"/>
      <c r="B1131"/>
      <c r="C1131" s="539"/>
      <c r="D1131"/>
      <c r="E1131"/>
    </row>
    <row r="1132" spans="1:5" ht="15">
      <c r="A1132"/>
      <c r="B1132"/>
      <c r="C1132" s="539"/>
      <c r="D1132"/>
      <c r="E1132"/>
    </row>
    <row r="1133" spans="1:5" ht="15">
      <c r="A1133"/>
      <c r="B1133"/>
      <c r="C1133" s="539"/>
      <c r="D1133"/>
      <c r="E1133"/>
    </row>
    <row r="1134" spans="1:5" ht="15">
      <c r="A1134"/>
      <c r="B1134"/>
      <c r="C1134" s="539"/>
      <c r="D1134"/>
      <c r="E1134"/>
    </row>
    <row r="1135" spans="1:5" ht="15">
      <c r="A1135"/>
      <c r="B1135"/>
      <c r="C1135" s="539"/>
      <c r="D1135"/>
      <c r="E1135"/>
    </row>
    <row r="1136" spans="1:5" ht="15">
      <c r="A1136"/>
      <c r="B1136"/>
      <c r="C1136" s="539"/>
      <c r="D1136"/>
      <c r="E1136"/>
    </row>
    <row r="1137" spans="1:5" ht="15">
      <c r="A1137"/>
      <c r="B1137"/>
      <c r="C1137" s="539"/>
      <c r="D1137"/>
      <c r="E1137"/>
    </row>
    <row r="1138" spans="1:5" ht="15">
      <c r="A1138"/>
      <c r="B1138"/>
      <c r="C1138" s="539"/>
      <c r="D1138"/>
      <c r="E1138"/>
    </row>
    <row r="1139" spans="1:5" ht="15">
      <c r="A1139"/>
      <c r="B1139"/>
      <c r="C1139" s="539"/>
      <c r="D1139"/>
      <c r="E1139"/>
    </row>
    <row r="1140" spans="1:5" ht="15">
      <c r="A1140"/>
      <c r="B1140"/>
      <c r="C1140" s="539"/>
      <c r="D1140"/>
      <c r="E1140"/>
    </row>
    <row r="1141" spans="1:5" ht="15">
      <c r="A1141"/>
      <c r="B1141"/>
      <c r="C1141" s="539"/>
      <c r="D1141"/>
      <c r="E1141"/>
    </row>
    <row r="1142" spans="1:5" ht="15">
      <c r="A1142"/>
      <c r="B1142"/>
      <c r="C1142" s="539"/>
      <c r="D1142"/>
      <c r="E1142"/>
    </row>
    <row r="1143" spans="1:5" ht="15">
      <c r="A1143"/>
      <c r="B1143"/>
      <c r="C1143" s="539"/>
      <c r="D1143"/>
      <c r="E1143"/>
    </row>
    <row r="1144" spans="1:5" ht="15">
      <c r="A1144"/>
      <c r="B1144"/>
      <c r="C1144" s="539"/>
      <c r="D1144"/>
      <c r="E1144"/>
    </row>
    <row r="1145" spans="1:5" ht="15">
      <c r="A1145"/>
      <c r="B1145"/>
      <c r="C1145" s="539"/>
      <c r="D1145"/>
      <c r="E1145"/>
    </row>
    <row r="1146" spans="1:5" ht="15">
      <c r="A1146"/>
      <c r="B1146"/>
      <c r="C1146" s="539"/>
      <c r="D1146"/>
      <c r="E1146"/>
    </row>
    <row r="1147" spans="1:5" ht="15">
      <c r="A1147"/>
      <c r="B1147"/>
      <c r="C1147" s="539"/>
      <c r="D1147"/>
      <c r="E1147"/>
    </row>
    <row r="1148" spans="1:5" ht="15">
      <c r="A1148"/>
      <c r="B1148"/>
      <c r="C1148" s="539"/>
      <c r="D1148"/>
      <c r="E1148"/>
    </row>
    <row r="1149" spans="1:5" ht="15">
      <c r="A1149"/>
      <c r="B1149"/>
      <c r="C1149" s="539"/>
      <c r="D1149"/>
      <c r="E1149"/>
    </row>
    <row r="1150" spans="1:5" ht="15">
      <c r="A1150"/>
      <c r="B1150"/>
      <c r="C1150" s="539"/>
      <c r="D1150"/>
      <c r="E1150"/>
    </row>
    <row r="1151" spans="1:5" ht="15">
      <c r="A1151"/>
      <c r="B1151"/>
      <c r="C1151" s="539"/>
      <c r="D1151"/>
      <c r="E1151"/>
    </row>
    <row r="1152" spans="1:5" ht="15">
      <c r="A1152"/>
      <c r="B1152"/>
      <c r="C1152" s="539"/>
      <c r="D1152"/>
      <c r="E1152"/>
    </row>
    <row r="1153" spans="1:5" ht="15">
      <c r="A1153"/>
      <c r="B1153"/>
      <c r="C1153" s="539"/>
      <c r="D1153"/>
      <c r="E1153"/>
    </row>
    <row r="1154" spans="1:5" ht="15">
      <c r="A1154"/>
      <c r="B1154"/>
      <c r="C1154" s="539"/>
      <c r="D1154"/>
      <c r="E1154"/>
    </row>
    <row r="1155" spans="1:5" ht="15">
      <c r="A1155"/>
      <c r="B1155"/>
      <c r="C1155" s="539"/>
      <c r="D1155"/>
      <c r="E1155"/>
    </row>
    <row r="1156" spans="1:5" ht="15">
      <c r="A1156"/>
      <c r="B1156"/>
      <c r="C1156" s="539"/>
      <c r="D1156"/>
      <c r="E1156"/>
    </row>
    <row r="1157" spans="1:5" ht="15">
      <c r="A1157"/>
      <c r="B1157"/>
      <c r="C1157" s="539"/>
      <c r="D1157"/>
      <c r="E1157"/>
    </row>
    <row r="1158" spans="1:5" ht="15">
      <c r="A1158"/>
      <c r="B1158"/>
      <c r="C1158" s="539"/>
      <c r="D1158"/>
      <c r="E1158"/>
    </row>
    <row r="1159" spans="1:5" ht="15">
      <c r="A1159"/>
      <c r="B1159"/>
      <c r="C1159" s="539"/>
      <c r="D1159"/>
      <c r="E1159"/>
    </row>
    <row r="1160" spans="1:5" ht="15">
      <c r="A1160"/>
      <c r="B1160"/>
      <c r="C1160" s="539"/>
      <c r="D1160"/>
      <c r="E1160"/>
    </row>
    <row r="1161" spans="1:5" ht="15">
      <c r="A1161"/>
      <c r="B1161"/>
      <c r="C1161" s="539"/>
      <c r="D1161"/>
      <c r="E1161"/>
    </row>
    <row r="1162" spans="1:5" ht="15">
      <c r="A1162"/>
      <c r="B1162"/>
      <c r="C1162" s="539"/>
      <c r="D1162"/>
      <c r="E1162"/>
    </row>
    <row r="1163" spans="1:5" ht="15">
      <c r="A1163"/>
      <c r="B1163"/>
      <c r="C1163" s="539"/>
      <c r="D1163"/>
      <c r="E1163"/>
    </row>
    <row r="1164" spans="1:5" ht="15">
      <c r="A1164"/>
      <c r="B1164"/>
      <c r="C1164" s="539"/>
      <c r="D1164"/>
      <c r="E1164"/>
    </row>
    <row r="1165" spans="1:5" ht="15">
      <c r="A1165"/>
      <c r="B1165"/>
      <c r="C1165" s="539"/>
      <c r="D1165"/>
      <c r="E1165"/>
    </row>
    <row r="1166" spans="1:5" ht="15">
      <c r="A1166"/>
      <c r="B1166"/>
      <c r="C1166" s="539"/>
      <c r="D1166"/>
      <c r="E1166"/>
    </row>
    <row r="1167" spans="1:5" ht="15">
      <c r="A1167"/>
      <c r="B1167"/>
      <c r="C1167" s="539"/>
      <c r="D1167"/>
      <c r="E1167"/>
    </row>
    <row r="1168" spans="1:5" ht="15">
      <c r="A1168"/>
      <c r="B1168"/>
      <c r="C1168" s="539"/>
      <c r="D1168"/>
      <c r="E1168"/>
    </row>
    <row r="1169" spans="1:5" ht="15">
      <c r="A1169"/>
      <c r="B1169"/>
      <c r="C1169" s="539"/>
      <c r="D1169"/>
      <c r="E1169"/>
    </row>
    <row r="1170" spans="1:5" ht="15">
      <c r="A1170"/>
      <c r="B1170"/>
      <c r="C1170" s="539"/>
      <c r="D1170"/>
      <c r="E1170"/>
    </row>
    <row r="1171" spans="1:5" ht="15">
      <c r="A1171"/>
      <c r="B1171"/>
      <c r="C1171" s="539"/>
      <c r="D1171"/>
      <c r="E1171"/>
    </row>
    <row r="1172" spans="1:5" ht="15">
      <c r="A1172"/>
      <c r="B1172"/>
      <c r="C1172" s="539"/>
      <c r="D1172"/>
      <c r="E1172"/>
    </row>
    <row r="1173" spans="1:5" ht="15">
      <c r="A1173"/>
      <c r="B1173"/>
      <c r="C1173" s="539"/>
      <c r="D1173"/>
      <c r="E1173"/>
    </row>
    <row r="1174" spans="1:5" ht="15">
      <c r="A1174"/>
      <c r="B1174"/>
      <c r="C1174" s="539"/>
      <c r="D1174"/>
      <c r="E1174"/>
    </row>
    <row r="1175" spans="1:5" ht="15">
      <c r="A1175"/>
      <c r="B1175"/>
      <c r="C1175" s="539"/>
      <c r="D1175"/>
      <c r="E1175"/>
    </row>
    <row r="1176" spans="1:5" ht="15">
      <c r="A1176"/>
      <c r="B1176"/>
      <c r="C1176" s="539"/>
      <c r="D1176"/>
      <c r="E1176"/>
    </row>
    <row r="1177" spans="1:5" ht="15">
      <c r="A1177"/>
      <c r="B1177"/>
      <c r="C1177" s="539"/>
      <c r="D1177"/>
      <c r="E1177"/>
    </row>
    <row r="1178" spans="1:5" ht="15">
      <c r="A1178"/>
      <c r="B1178"/>
      <c r="C1178" s="539"/>
      <c r="D1178"/>
      <c r="E1178"/>
    </row>
    <row r="1179" spans="1:5" ht="15">
      <c r="A1179"/>
      <c r="B1179"/>
      <c r="C1179" s="539"/>
      <c r="D1179"/>
      <c r="E1179"/>
    </row>
    <row r="1180" spans="1:5" ht="15">
      <c r="A1180"/>
      <c r="B1180"/>
      <c r="C1180" s="539"/>
      <c r="D1180"/>
      <c r="E1180"/>
    </row>
    <row r="1181" spans="1:5" ht="15">
      <c r="A1181"/>
      <c r="B1181"/>
      <c r="C1181" s="539"/>
      <c r="D1181"/>
      <c r="E1181"/>
    </row>
    <row r="1182" spans="1:5" ht="15">
      <c r="A1182"/>
      <c r="B1182"/>
      <c r="C1182" s="539"/>
      <c r="D1182"/>
      <c r="E1182"/>
    </row>
    <row r="1183" spans="1:5" ht="15">
      <c r="A1183"/>
      <c r="B1183"/>
      <c r="C1183" s="539"/>
      <c r="D1183"/>
      <c r="E1183"/>
    </row>
    <row r="1184" spans="1:5" ht="15">
      <c r="A1184"/>
      <c r="B1184"/>
      <c r="C1184" s="539"/>
      <c r="D1184"/>
      <c r="E1184"/>
    </row>
    <row r="1185" spans="1:5" ht="15">
      <c r="A1185"/>
      <c r="B1185"/>
      <c r="C1185" s="539"/>
      <c r="D1185"/>
      <c r="E1185"/>
    </row>
    <row r="1186" spans="1:5" ht="15">
      <c r="A1186"/>
      <c r="B1186"/>
      <c r="C1186" s="539"/>
      <c r="D1186"/>
      <c r="E1186"/>
    </row>
    <row r="1187" spans="1:5" ht="15">
      <c r="A1187"/>
      <c r="B1187"/>
      <c r="C1187" s="539"/>
      <c r="D1187"/>
      <c r="E1187"/>
    </row>
    <row r="1188" spans="1:5" ht="15">
      <c r="A1188"/>
      <c r="B1188"/>
      <c r="C1188" s="539"/>
      <c r="D1188"/>
      <c r="E1188"/>
    </row>
    <row r="1189" spans="1:5" ht="15">
      <c r="A1189"/>
      <c r="B1189"/>
      <c r="C1189" s="539"/>
      <c r="D1189"/>
      <c r="E1189"/>
    </row>
    <row r="1190" spans="1:5" ht="15">
      <c r="A1190"/>
      <c r="B1190"/>
      <c r="C1190" s="539"/>
      <c r="D1190"/>
      <c r="E1190"/>
    </row>
    <row r="1191" spans="1:5" ht="15">
      <c r="A1191"/>
      <c r="B1191"/>
      <c r="C1191" s="539"/>
      <c r="D1191"/>
      <c r="E1191"/>
    </row>
    <row r="1192" spans="1:5" ht="15">
      <c r="A1192"/>
      <c r="B1192"/>
      <c r="C1192" s="539"/>
      <c r="D1192"/>
      <c r="E1192"/>
    </row>
    <row r="1193" spans="1:5" ht="15">
      <c r="A1193"/>
      <c r="B1193"/>
      <c r="C1193" s="539"/>
      <c r="D1193"/>
      <c r="E1193"/>
    </row>
    <row r="1194" spans="1:5" ht="15">
      <c r="A1194"/>
      <c r="B1194"/>
      <c r="C1194" s="539"/>
      <c r="D1194"/>
      <c r="E1194"/>
    </row>
    <row r="1195" spans="1:5" ht="15">
      <c r="A1195"/>
      <c r="B1195"/>
      <c r="C1195" s="539"/>
      <c r="D1195"/>
      <c r="E1195"/>
    </row>
    <row r="1196" spans="1:5" ht="15">
      <c r="A1196"/>
      <c r="B1196"/>
      <c r="C1196" s="539"/>
      <c r="D1196"/>
      <c r="E1196"/>
    </row>
    <row r="1197" spans="1:5" ht="15">
      <c r="A1197"/>
      <c r="B1197"/>
      <c r="C1197" s="539"/>
      <c r="D1197"/>
      <c r="E1197"/>
    </row>
    <row r="1198" spans="1:5" ht="15">
      <c r="A1198"/>
      <c r="B1198"/>
      <c r="C1198" s="539"/>
      <c r="D1198"/>
      <c r="E1198"/>
    </row>
    <row r="1199" spans="1:5" ht="15">
      <c r="A1199"/>
      <c r="B1199"/>
      <c r="C1199" s="539"/>
      <c r="D1199"/>
      <c r="E1199"/>
    </row>
    <row r="1200" spans="1:5" ht="15">
      <c r="A1200"/>
      <c r="B1200"/>
      <c r="C1200" s="539"/>
      <c r="D1200"/>
      <c r="E1200"/>
    </row>
    <row r="1201" spans="1:5" ht="15">
      <c r="A1201"/>
      <c r="B1201"/>
      <c r="C1201" s="539"/>
      <c r="D1201"/>
      <c r="E1201"/>
    </row>
    <row r="1202" spans="1:5" ht="15">
      <c r="A1202"/>
      <c r="B1202"/>
      <c r="C1202" s="539"/>
      <c r="D1202"/>
      <c r="E1202"/>
    </row>
    <row r="1203" spans="1:5" ht="15">
      <c r="A1203"/>
      <c r="B1203"/>
      <c r="C1203" s="539"/>
      <c r="D1203"/>
      <c r="E1203"/>
    </row>
    <row r="1204" spans="1:5" ht="15">
      <c r="A1204"/>
      <c r="B1204"/>
      <c r="C1204" s="539"/>
      <c r="D1204"/>
      <c r="E1204"/>
    </row>
    <row r="1205" spans="1:5" ht="15">
      <c r="A1205"/>
      <c r="B1205"/>
      <c r="C1205" s="539"/>
      <c r="D1205"/>
      <c r="E1205"/>
    </row>
    <row r="1206" spans="1:5" ht="15">
      <c r="A1206"/>
      <c r="B1206"/>
      <c r="C1206" s="539"/>
      <c r="D1206"/>
      <c r="E1206"/>
    </row>
    <row r="1207" spans="1:5" ht="15">
      <c r="A1207"/>
      <c r="B1207"/>
      <c r="C1207" s="539"/>
      <c r="D1207"/>
      <c r="E1207"/>
    </row>
    <row r="1208" spans="1:5" ht="15">
      <c r="A1208"/>
      <c r="B1208"/>
      <c r="C1208" s="539"/>
      <c r="D1208"/>
      <c r="E1208"/>
    </row>
    <row r="1209" spans="1:5" ht="15">
      <c r="A1209"/>
      <c r="B1209"/>
      <c r="C1209" s="539"/>
      <c r="D1209"/>
      <c r="E1209"/>
    </row>
    <row r="1210" spans="1:5" ht="15">
      <c r="A1210"/>
      <c r="B1210"/>
      <c r="C1210" s="539"/>
      <c r="D1210"/>
      <c r="E1210"/>
    </row>
    <row r="1211" spans="1:5" ht="15">
      <c r="A1211"/>
      <c r="B1211"/>
      <c r="C1211" s="539"/>
      <c r="D1211"/>
      <c r="E1211"/>
    </row>
    <row r="1212" spans="1:5" ht="15">
      <c r="A1212"/>
      <c r="B1212"/>
      <c r="C1212" s="539"/>
      <c r="D1212"/>
      <c r="E1212"/>
    </row>
    <row r="1213" spans="1:5" ht="15">
      <c r="A1213"/>
      <c r="B1213"/>
      <c r="C1213" s="539"/>
      <c r="D1213"/>
      <c r="E1213"/>
    </row>
    <row r="1214" spans="1:5" ht="15">
      <c r="A1214"/>
      <c r="B1214"/>
      <c r="C1214" s="539"/>
      <c r="D1214"/>
      <c r="E1214"/>
    </row>
    <row r="1215" spans="1:5" ht="15">
      <c r="A1215"/>
      <c r="B1215"/>
      <c r="C1215" s="539"/>
      <c r="D1215"/>
      <c r="E1215"/>
    </row>
    <row r="1216" spans="1:5" ht="15">
      <c r="A1216"/>
      <c r="B1216"/>
      <c r="C1216" s="539"/>
      <c r="D1216"/>
      <c r="E1216"/>
    </row>
    <row r="1217" spans="1:5" ht="15">
      <c r="A1217"/>
      <c r="B1217"/>
      <c r="C1217" s="539"/>
      <c r="D1217"/>
      <c r="E1217"/>
    </row>
    <row r="1218" spans="1:5" ht="15">
      <c r="A1218"/>
      <c r="B1218"/>
      <c r="C1218" s="539"/>
      <c r="D1218"/>
      <c r="E1218"/>
    </row>
    <row r="1219" spans="1:5" ht="15">
      <c r="A1219"/>
      <c r="B1219"/>
      <c r="C1219" s="539"/>
      <c r="D1219"/>
      <c r="E1219"/>
    </row>
    <row r="1220" spans="1:5" ht="15">
      <c r="A1220"/>
      <c r="B1220"/>
      <c r="C1220" s="539"/>
      <c r="D1220"/>
      <c r="E1220"/>
    </row>
    <row r="1221" spans="1:5" ht="15">
      <c r="A1221"/>
      <c r="B1221"/>
      <c r="C1221" s="539"/>
      <c r="D1221"/>
      <c r="E1221"/>
    </row>
    <row r="1222" spans="1:5" ht="15">
      <c r="A1222"/>
      <c r="B1222"/>
      <c r="C1222" s="539"/>
      <c r="D1222"/>
      <c r="E1222"/>
    </row>
    <row r="1223" spans="1:5" ht="15">
      <c r="A1223"/>
      <c r="B1223"/>
      <c r="C1223" s="539"/>
      <c r="D1223"/>
      <c r="E1223"/>
    </row>
    <row r="1224" spans="1:5" ht="15">
      <c r="A1224"/>
      <c r="B1224"/>
      <c r="C1224" s="539"/>
      <c r="D1224"/>
      <c r="E1224"/>
    </row>
    <row r="1225" spans="1:5" ht="15">
      <c r="A1225"/>
      <c r="B1225"/>
      <c r="C1225" s="539"/>
      <c r="D1225"/>
      <c r="E1225"/>
    </row>
    <row r="1226" spans="1:5" ht="15">
      <c r="A1226"/>
      <c r="B1226"/>
      <c r="C1226" s="539"/>
      <c r="D1226"/>
      <c r="E1226"/>
    </row>
    <row r="1227" spans="1:5" ht="15">
      <c r="A1227"/>
      <c r="B1227"/>
      <c r="C1227" s="539"/>
      <c r="D1227"/>
      <c r="E1227"/>
    </row>
    <row r="1228" spans="1:5" ht="15">
      <c r="A1228"/>
      <c r="B1228"/>
      <c r="C1228" s="539"/>
      <c r="D1228"/>
      <c r="E1228"/>
    </row>
    <row r="1229" spans="1:5" ht="15">
      <c r="A1229"/>
      <c r="B1229"/>
      <c r="C1229" s="539"/>
      <c r="D1229"/>
      <c r="E1229"/>
    </row>
    <row r="1230" spans="1:5" ht="15">
      <c r="A1230"/>
      <c r="B1230"/>
      <c r="C1230" s="539"/>
      <c r="D1230"/>
      <c r="E1230"/>
    </row>
    <row r="1231" spans="1:5" ht="15">
      <c r="A1231"/>
      <c r="B1231"/>
      <c r="C1231" s="539"/>
      <c r="D1231"/>
      <c r="E1231"/>
    </row>
    <row r="1232" spans="1:5" ht="15">
      <c r="A1232"/>
      <c r="B1232"/>
      <c r="C1232" s="539"/>
      <c r="D1232"/>
      <c r="E1232"/>
    </row>
    <row r="1233" spans="1:5" ht="15">
      <c r="A1233"/>
      <c r="B1233"/>
      <c r="C1233" s="539"/>
      <c r="D1233"/>
      <c r="E1233"/>
    </row>
    <row r="1234" spans="1:5" ht="15">
      <c r="A1234"/>
      <c r="B1234"/>
      <c r="C1234" s="539"/>
      <c r="D1234"/>
      <c r="E1234"/>
    </row>
    <row r="1235" spans="1:5" ht="15">
      <c r="A1235"/>
      <c r="B1235"/>
      <c r="C1235" s="539"/>
      <c r="D1235"/>
      <c r="E1235"/>
    </row>
    <row r="1236" spans="1:5" ht="15">
      <c r="A1236"/>
      <c r="B1236"/>
      <c r="C1236" s="539"/>
      <c r="D1236"/>
      <c r="E1236"/>
    </row>
    <row r="1237" spans="1:5" ht="15">
      <c r="A1237"/>
      <c r="B1237"/>
      <c r="C1237" s="539"/>
      <c r="D1237"/>
      <c r="E1237"/>
    </row>
    <row r="1238" spans="1:5" ht="15">
      <c r="A1238"/>
      <c r="B1238"/>
      <c r="C1238" s="539"/>
      <c r="D1238"/>
      <c r="E1238"/>
    </row>
    <row r="1239" spans="1:5" ht="15">
      <c r="A1239"/>
      <c r="B1239"/>
      <c r="C1239" s="539"/>
      <c r="D1239"/>
      <c r="E1239"/>
    </row>
    <row r="1240" spans="1:5" ht="15">
      <c r="A1240"/>
      <c r="B1240"/>
      <c r="C1240" s="539"/>
      <c r="D1240"/>
      <c r="E1240"/>
    </row>
    <row r="1241" spans="1:5" ht="15">
      <c r="A1241"/>
      <c r="B1241"/>
      <c r="C1241" s="539"/>
      <c r="D1241"/>
      <c r="E1241"/>
    </row>
    <row r="1242" spans="1:5" ht="15">
      <c r="A1242"/>
      <c r="B1242"/>
      <c r="C1242" s="539"/>
      <c r="D1242"/>
      <c r="E1242"/>
    </row>
    <row r="1243" spans="1:5" ht="15">
      <c r="A1243"/>
      <c r="B1243"/>
      <c r="C1243" s="539"/>
      <c r="D1243"/>
      <c r="E1243"/>
    </row>
    <row r="1244" spans="1:5" ht="15">
      <c r="A1244"/>
      <c r="B1244"/>
      <c r="C1244" s="539"/>
      <c r="D1244"/>
      <c r="E1244"/>
    </row>
    <row r="1245" spans="1:5" ht="15">
      <c r="A1245"/>
      <c r="B1245"/>
      <c r="C1245" s="539"/>
      <c r="D1245"/>
      <c r="E1245"/>
    </row>
    <row r="1246" spans="1:5" ht="15">
      <c r="A1246"/>
      <c r="B1246"/>
      <c r="C1246" s="539"/>
      <c r="D1246"/>
      <c r="E1246"/>
    </row>
    <row r="1247" spans="1:5" ht="15">
      <c r="A1247"/>
      <c r="B1247"/>
      <c r="C1247" s="539"/>
      <c r="D1247"/>
      <c r="E1247"/>
    </row>
    <row r="1248" spans="1:5" ht="15">
      <c r="A1248"/>
      <c r="B1248"/>
      <c r="C1248" s="539"/>
      <c r="D1248"/>
      <c r="E1248"/>
    </row>
    <row r="1249" spans="1:5" ht="15">
      <c r="A1249"/>
      <c r="B1249"/>
      <c r="C1249" s="539"/>
      <c r="D1249"/>
      <c r="E1249"/>
    </row>
    <row r="1250" spans="1:5" ht="15">
      <c r="A1250"/>
      <c r="B1250"/>
      <c r="C1250" s="539"/>
      <c r="D1250"/>
      <c r="E1250"/>
    </row>
    <row r="1251" spans="1:5" ht="15">
      <c r="A1251"/>
      <c r="B1251"/>
      <c r="C1251" s="539"/>
      <c r="D1251"/>
      <c r="E1251"/>
    </row>
    <row r="1252" spans="1:5" ht="15">
      <c r="A1252"/>
      <c r="B1252"/>
      <c r="C1252" s="539"/>
      <c r="D1252"/>
      <c r="E1252"/>
    </row>
    <row r="1253" spans="1:5" ht="15">
      <c r="A1253"/>
      <c r="B1253"/>
      <c r="C1253" s="539"/>
      <c r="D1253"/>
      <c r="E1253"/>
    </row>
    <row r="1254" spans="1:5" ht="15">
      <c r="A1254"/>
      <c r="B1254"/>
      <c r="C1254" s="539"/>
      <c r="D1254"/>
      <c r="E1254"/>
    </row>
    <row r="1255" spans="1:5" ht="15">
      <c r="A1255"/>
      <c r="B1255"/>
      <c r="C1255" s="539"/>
      <c r="D1255"/>
      <c r="E1255"/>
    </row>
    <row r="1256" spans="1:5" ht="15">
      <c r="A1256"/>
      <c r="B1256"/>
      <c r="C1256" s="539"/>
      <c r="D1256"/>
      <c r="E1256"/>
    </row>
    <row r="1257" spans="1:5" ht="15">
      <c r="A1257"/>
      <c r="B1257"/>
      <c r="C1257" s="539"/>
      <c r="D1257"/>
      <c r="E1257"/>
    </row>
    <row r="1258" spans="1:5" ht="15">
      <c r="A1258"/>
      <c r="B1258"/>
      <c r="C1258" s="539"/>
      <c r="D1258"/>
      <c r="E1258"/>
    </row>
    <row r="1259" spans="1:5" ht="15">
      <c r="A1259"/>
      <c r="B1259"/>
      <c r="C1259" s="539"/>
      <c r="D1259"/>
      <c r="E1259"/>
    </row>
    <row r="1260" spans="1:5" ht="15">
      <c r="A1260"/>
      <c r="B1260"/>
      <c r="C1260" s="539"/>
      <c r="D1260"/>
      <c r="E1260"/>
    </row>
    <row r="1261" spans="1:5" ht="15">
      <c r="A1261"/>
      <c r="B1261"/>
      <c r="C1261" s="539"/>
      <c r="D1261"/>
      <c r="E1261"/>
    </row>
    <row r="1262" spans="1:5" ht="15">
      <c r="A1262"/>
      <c r="B1262"/>
      <c r="C1262" s="539"/>
      <c r="D1262"/>
      <c r="E1262"/>
    </row>
    <row r="1263" spans="1:5" ht="15">
      <c r="A1263"/>
      <c r="B1263"/>
      <c r="C1263" s="539"/>
      <c r="D1263"/>
      <c r="E1263"/>
    </row>
    <row r="1264" spans="1:5" ht="15">
      <c r="A1264"/>
      <c r="B1264"/>
      <c r="C1264" s="539"/>
      <c r="D1264"/>
      <c r="E1264"/>
    </row>
    <row r="1265" spans="1:5" ht="15">
      <c r="A1265"/>
      <c r="B1265"/>
      <c r="C1265" s="539"/>
      <c r="D1265"/>
      <c r="E1265"/>
    </row>
    <row r="1266" spans="1:5" ht="15">
      <c r="A1266"/>
      <c r="B1266"/>
      <c r="C1266" s="539"/>
      <c r="D1266"/>
      <c r="E1266"/>
    </row>
    <row r="1267" spans="1:5" ht="15">
      <c r="A1267"/>
      <c r="B1267"/>
      <c r="C1267" s="539"/>
      <c r="D1267"/>
      <c r="E1267"/>
    </row>
    <row r="1268" spans="1:5" ht="15">
      <c r="A1268"/>
      <c r="B1268"/>
      <c r="C1268" s="539"/>
      <c r="D1268"/>
      <c r="E1268"/>
    </row>
    <row r="1269" spans="1:5" ht="15">
      <c r="A1269"/>
      <c r="B1269"/>
      <c r="C1269" s="539"/>
      <c r="D1269"/>
      <c r="E1269"/>
    </row>
    <row r="1270" spans="1:5" ht="15">
      <c r="A1270"/>
      <c r="B1270"/>
      <c r="C1270" s="539"/>
      <c r="D1270"/>
      <c r="E1270"/>
    </row>
    <row r="1271" spans="1:5" ht="15">
      <c r="A1271"/>
      <c r="B1271"/>
      <c r="C1271" s="539"/>
      <c r="D1271"/>
      <c r="E1271"/>
    </row>
    <row r="1272" spans="1:5" ht="15">
      <c r="A1272"/>
      <c r="B1272"/>
      <c r="C1272" s="539"/>
      <c r="D1272"/>
      <c r="E1272"/>
    </row>
    <row r="1273" spans="1:5" ht="15">
      <c r="A1273"/>
      <c r="B1273"/>
      <c r="C1273" s="539"/>
      <c r="D1273"/>
      <c r="E1273"/>
    </row>
    <row r="1274" spans="1:5" ht="15">
      <c r="A1274"/>
      <c r="B1274"/>
      <c r="C1274" s="539"/>
      <c r="D1274"/>
      <c r="E1274"/>
    </row>
    <row r="1275" spans="1:5" ht="15">
      <c r="A1275"/>
      <c r="B1275"/>
      <c r="C1275" s="539"/>
      <c r="D1275"/>
      <c r="E1275"/>
    </row>
    <row r="1276" spans="1:5" ht="15">
      <c r="A1276"/>
      <c r="B1276"/>
      <c r="C1276" s="539"/>
      <c r="D1276"/>
      <c r="E1276"/>
    </row>
    <row r="1277" spans="1:5" ht="15">
      <c r="A1277"/>
      <c r="B1277"/>
      <c r="C1277" s="539"/>
      <c r="D1277"/>
      <c r="E1277"/>
    </row>
    <row r="1278" spans="1:5" ht="15">
      <c r="A1278"/>
      <c r="B1278"/>
      <c r="C1278" s="539"/>
      <c r="D1278"/>
      <c r="E1278"/>
    </row>
    <row r="1279" spans="1:5" ht="15">
      <c r="A1279"/>
      <c r="B1279"/>
      <c r="C1279" s="539"/>
      <c r="D1279"/>
      <c r="E1279"/>
    </row>
    <row r="1280" spans="1:5" ht="15">
      <c r="A1280"/>
      <c r="B1280"/>
      <c r="C1280" s="539"/>
      <c r="D1280"/>
      <c r="E1280"/>
    </row>
    <row r="1281" spans="1:5" ht="15">
      <c r="A1281"/>
      <c r="B1281"/>
      <c r="C1281" s="539"/>
      <c r="D1281"/>
      <c r="E1281"/>
    </row>
    <row r="1282" spans="1:5" ht="15">
      <c r="A1282"/>
      <c r="B1282"/>
      <c r="C1282" s="539"/>
      <c r="D1282"/>
      <c r="E1282"/>
    </row>
    <row r="1283" spans="1:5" ht="15">
      <c r="A1283"/>
      <c r="B1283"/>
      <c r="C1283" s="539"/>
      <c r="D1283"/>
      <c r="E1283"/>
    </row>
    <row r="1284" spans="1:5" ht="15">
      <c r="A1284"/>
      <c r="B1284"/>
      <c r="C1284" s="539"/>
      <c r="D1284"/>
      <c r="E1284"/>
    </row>
    <row r="1285" spans="1:5" ht="15">
      <c r="A1285"/>
      <c r="B1285"/>
      <c r="C1285" s="539"/>
      <c r="D1285"/>
      <c r="E1285"/>
    </row>
    <row r="1286" spans="1:5" ht="15">
      <c r="A1286"/>
      <c r="B1286"/>
      <c r="C1286" s="539"/>
      <c r="D1286"/>
      <c r="E1286"/>
    </row>
    <row r="1287" spans="1:5" ht="15">
      <c r="A1287"/>
      <c r="B1287"/>
      <c r="C1287" s="539"/>
      <c r="D1287"/>
      <c r="E1287"/>
    </row>
    <row r="1288" spans="1:5" ht="15">
      <c r="A1288"/>
      <c r="B1288"/>
      <c r="C1288" s="539"/>
      <c r="D1288"/>
      <c r="E1288"/>
    </row>
    <row r="1289" spans="1:5" ht="15">
      <c r="A1289"/>
      <c r="B1289"/>
      <c r="C1289" s="539"/>
      <c r="D1289"/>
      <c r="E1289"/>
    </row>
    <row r="1290" spans="1:5" ht="15">
      <c r="A1290"/>
      <c r="B1290"/>
      <c r="C1290" s="539"/>
      <c r="D1290"/>
      <c r="E1290"/>
    </row>
    <row r="1291" spans="1:5" ht="15">
      <c r="A1291"/>
      <c r="B1291"/>
      <c r="C1291" s="539"/>
      <c r="D1291"/>
      <c r="E1291"/>
    </row>
    <row r="1292" spans="1:5" ht="15">
      <c r="A1292"/>
      <c r="B1292"/>
      <c r="C1292" s="539"/>
      <c r="D1292"/>
      <c r="E1292"/>
    </row>
    <row r="1293" spans="1:5" ht="15">
      <c r="A1293"/>
      <c r="B1293"/>
      <c r="C1293" s="539"/>
      <c r="D1293"/>
      <c r="E1293"/>
    </row>
    <row r="1294" spans="1:5" ht="15">
      <c r="A1294"/>
      <c r="B1294"/>
      <c r="C1294" s="539"/>
      <c r="D1294"/>
      <c r="E1294"/>
    </row>
    <row r="1295" spans="1:5" ht="15">
      <c r="A1295"/>
      <c r="B1295"/>
      <c r="C1295" s="539"/>
      <c r="D1295"/>
      <c r="E1295"/>
    </row>
    <row r="1296" spans="1:5" ht="15">
      <c r="A1296"/>
      <c r="B1296"/>
      <c r="C1296" s="539"/>
      <c r="D1296"/>
      <c r="E1296"/>
    </row>
    <row r="1297" spans="1:5" ht="15">
      <c r="A1297"/>
      <c r="B1297"/>
      <c r="C1297" s="539"/>
      <c r="D1297"/>
      <c r="E1297"/>
    </row>
    <row r="1298" spans="1:5" ht="15">
      <c r="A1298"/>
      <c r="B1298"/>
      <c r="C1298" s="539"/>
      <c r="D1298"/>
      <c r="E1298"/>
    </row>
    <row r="1299" spans="1:5" ht="15">
      <c r="A1299"/>
      <c r="B1299"/>
      <c r="C1299" s="539"/>
      <c r="D1299"/>
      <c r="E1299"/>
    </row>
    <row r="1300" spans="1:5" ht="15">
      <c r="A1300"/>
      <c r="B1300"/>
      <c r="C1300" s="539"/>
      <c r="D1300"/>
      <c r="E1300"/>
    </row>
    <row r="1301" spans="1:5" ht="15">
      <c r="A1301"/>
      <c r="B1301"/>
      <c r="C1301" s="539"/>
      <c r="D1301"/>
      <c r="E1301"/>
    </row>
    <row r="1302" spans="1:5" ht="15">
      <c r="A1302"/>
      <c r="B1302"/>
      <c r="C1302" s="539"/>
      <c r="D1302"/>
      <c r="E1302"/>
    </row>
    <row r="1303" spans="1:5" ht="15">
      <c r="A1303"/>
      <c r="B1303"/>
      <c r="C1303" s="539"/>
      <c r="D1303"/>
      <c r="E1303"/>
    </row>
    <row r="1304" spans="1:5" ht="15">
      <c r="A1304"/>
      <c r="B1304"/>
      <c r="C1304" s="539"/>
      <c r="D1304"/>
      <c r="E1304"/>
    </row>
    <row r="1305" spans="1:5" ht="15">
      <c r="A1305"/>
      <c r="B1305"/>
      <c r="C1305" s="539"/>
      <c r="D1305"/>
      <c r="E1305"/>
    </row>
    <row r="1306" spans="1:5" ht="15">
      <c r="A1306"/>
      <c r="B1306"/>
      <c r="C1306" s="539"/>
      <c r="D1306"/>
      <c r="E1306"/>
    </row>
    <row r="1307" spans="1:5" ht="15">
      <c r="A1307"/>
      <c r="B1307"/>
      <c r="C1307" s="539"/>
      <c r="D1307"/>
      <c r="E1307"/>
    </row>
    <row r="1308" spans="1:5" ht="15">
      <c r="A1308"/>
      <c r="B1308"/>
      <c r="C1308" s="539"/>
      <c r="D1308"/>
      <c r="E1308"/>
    </row>
    <row r="1309" spans="1:5" ht="15">
      <c r="A1309"/>
      <c r="B1309"/>
      <c r="C1309" s="539"/>
      <c r="D1309"/>
      <c r="E1309"/>
    </row>
    <row r="1310" spans="1:5" ht="15">
      <c r="A1310"/>
      <c r="B1310"/>
      <c r="C1310" s="539"/>
      <c r="D1310"/>
      <c r="E1310"/>
    </row>
    <row r="1311" spans="1:5" ht="15">
      <c r="A1311"/>
      <c r="B1311"/>
      <c r="C1311" s="539"/>
      <c r="D1311"/>
      <c r="E1311"/>
    </row>
    <row r="1312" spans="1:5" ht="15">
      <c r="A1312"/>
      <c r="B1312"/>
      <c r="C1312" s="539"/>
      <c r="D1312"/>
      <c r="E1312"/>
    </row>
    <row r="1313" spans="1:5" ht="15">
      <c r="A1313"/>
      <c r="B1313"/>
      <c r="C1313" s="539"/>
      <c r="D1313"/>
      <c r="E1313"/>
    </row>
    <row r="1314" spans="1:5" ht="15">
      <c r="A1314"/>
      <c r="B1314"/>
      <c r="C1314" s="539"/>
      <c r="D1314"/>
      <c r="E1314"/>
    </row>
    <row r="1315" spans="1:5" ht="15">
      <c r="A1315"/>
      <c r="B1315"/>
      <c r="C1315" s="539"/>
      <c r="D1315"/>
      <c r="E1315"/>
    </row>
    <row r="1316" spans="1:5" ht="15">
      <c r="A1316"/>
      <c r="B1316"/>
      <c r="C1316" s="539"/>
      <c r="D1316"/>
      <c r="E1316"/>
    </row>
    <row r="1317" spans="1:5" ht="15">
      <c r="A1317"/>
      <c r="B1317"/>
      <c r="C1317" s="539"/>
      <c r="D1317"/>
      <c r="E1317"/>
    </row>
    <row r="1318" spans="1:5" ht="15">
      <c r="A1318"/>
      <c r="B1318"/>
      <c r="C1318" s="539"/>
      <c r="D1318"/>
      <c r="E1318"/>
    </row>
    <row r="1319" spans="1:5" ht="15">
      <c r="A1319"/>
      <c r="B1319"/>
      <c r="C1319" s="539"/>
      <c r="D1319"/>
      <c r="E1319"/>
    </row>
    <row r="1320" spans="1:5" ht="15">
      <c r="A1320"/>
      <c r="B1320"/>
      <c r="C1320" s="539"/>
      <c r="D1320"/>
      <c r="E1320"/>
    </row>
    <row r="1321" spans="1:5" ht="15">
      <c r="A1321"/>
      <c r="B1321"/>
      <c r="C1321" s="539"/>
      <c r="D1321"/>
      <c r="E1321"/>
    </row>
    <row r="1322" spans="1:5" ht="15">
      <c r="A1322"/>
      <c r="B1322"/>
      <c r="C1322" s="539"/>
      <c r="D1322"/>
      <c r="E1322"/>
    </row>
    <row r="1323" spans="1:5" ht="15">
      <c r="A1323"/>
      <c r="B1323"/>
      <c r="C1323" s="539"/>
      <c r="D1323"/>
      <c r="E1323"/>
    </row>
    <row r="1324" spans="1:5" ht="15">
      <c r="A1324"/>
      <c r="B1324"/>
      <c r="C1324" s="539"/>
      <c r="D1324"/>
      <c r="E1324"/>
    </row>
    <row r="1325" spans="1:5" ht="15">
      <c r="A1325"/>
      <c r="B1325"/>
      <c r="C1325" s="539"/>
      <c r="D1325"/>
      <c r="E1325"/>
    </row>
    <row r="1326" spans="1:5" ht="15">
      <c r="A1326"/>
      <c r="B1326"/>
      <c r="C1326" s="539"/>
      <c r="D1326"/>
      <c r="E1326"/>
    </row>
    <row r="1327" spans="1:5" ht="15">
      <c r="A1327"/>
      <c r="B1327"/>
      <c r="C1327" s="539"/>
      <c r="D1327"/>
      <c r="E1327"/>
    </row>
    <row r="1328" spans="1:5" ht="15">
      <c r="A1328"/>
      <c r="B1328"/>
      <c r="C1328" s="539"/>
      <c r="D1328"/>
      <c r="E1328"/>
    </row>
    <row r="1329" spans="1:5" ht="15">
      <c r="A1329"/>
      <c r="B1329"/>
      <c r="C1329" s="539"/>
      <c r="D1329"/>
      <c r="E1329"/>
    </row>
    <row r="1330" spans="1:5" ht="15">
      <c r="A1330"/>
      <c r="B1330"/>
      <c r="C1330" s="539"/>
      <c r="D1330"/>
      <c r="E1330"/>
    </row>
    <row r="1331" spans="1:5" ht="15">
      <c r="A1331"/>
      <c r="B1331"/>
      <c r="C1331" s="539"/>
      <c r="D1331"/>
      <c r="E1331"/>
    </row>
    <row r="1332" spans="1:5" ht="15">
      <c r="A1332"/>
      <c r="B1332"/>
      <c r="C1332" s="539"/>
      <c r="D1332"/>
      <c r="E1332"/>
    </row>
    <row r="1333" spans="1:5" ht="15">
      <c r="A1333"/>
      <c r="B1333"/>
      <c r="C1333" s="539"/>
      <c r="D1333"/>
      <c r="E1333"/>
    </row>
    <row r="1334" spans="1:5" ht="15">
      <c r="A1334"/>
      <c r="B1334"/>
      <c r="C1334" s="539"/>
      <c r="D1334"/>
      <c r="E1334"/>
    </row>
    <row r="1335" spans="1:5" ht="15">
      <c r="A1335"/>
      <c r="B1335"/>
      <c r="C1335" s="539"/>
      <c r="D1335"/>
      <c r="E1335"/>
    </row>
    <row r="1336" spans="1:5" ht="15">
      <c r="A1336"/>
      <c r="B1336"/>
      <c r="C1336" s="539"/>
      <c r="D1336"/>
      <c r="E1336"/>
    </row>
    <row r="1337" spans="1:5" ht="15">
      <c r="A1337"/>
      <c r="B1337"/>
      <c r="C1337" s="539"/>
      <c r="D1337"/>
      <c r="E1337"/>
    </row>
    <row r="1338" spans="1:5" ht="15">
      <c r="A1338"/>
      <c r="B1338"/>
      <c r="C1338" s="539"/>
      <c r="D1338"/>
      <c r="E1338"/>
    </row>
    <row r="1339" spans="1:5" ht="15">
      <c r="A1339"/>
      <c r="B1339"/>
      <c r="C1339" s="539"/>
      <c r="D1339"/>
      <c r="E1339"/>
    </row>
    <row r="1340" spans="1:5" ht="15">
      <c r="A1340"/>
      <c r="B1340"/>
      <c r="C1340" s="539"/>
      <c r="D1340"/>
      <c r="E1340"/>
    </row>
    <row r="1341" spans="1:5" ht="15">
      <c r="A1341"/>
      <c r="B1341"/>
      <c r="C1341" s="539"/>
      <c r="D1341"/>
      <c r="E1341"/>
    </row>
    <row r="1342" spans="1:5" ht="15">
      <c r="A1342"/>
      <c r="B1342"/>
      <c r="C1342" s="539"/>
      <c r="D1342"/>
      <c r="E1342"/>
    </row>
    <row r="1343" spans="1:5" ht="15">
      <c r="A1343"/>
      <c r="B1343"/>
      <c r="C1343" s="539"/>
      <c r="D1343"/>
      <c r="E1343"/>
    </row>
    <row r="1344" spans="1:5" ht="15">
      <c r="A1344"/>
      <c r="B1344"/>
      <c r="C1344" s="539"/>
      <c r="D1344"/>
      <c r="E1344"/>
    </row>
    <row r="1345" spans="1:5" ht="15">
      <c r="A1345"/>
      <c r="B1345"/>
      <c r="C1345" s="539"/>
      <c r="D1345"/>
      <c r="E1345"/>
    </row>
    <row r="1346" spans="1:5" ht="15">
      <c r="A1346"/>
      <c r="B1346"/>
      <c r="C1346" s="539"/>
      <c r="D1346"/>
      <c r="E1346"/>
    </row>
    <row r="1347" spans="1:5" ht="15">
      <c r="A1347"/>
      <c r="B1347"/>
      <c r="C1347" s="539"/>
      <c r="D1347"/>
      <c r="E1347"/>
    </row>
    <row r="1348" spans="1:5" ht="15">
      <c r="A1348"/>
      <c r="B1348"/>
      <c r="C1348" s="539"/>
      <c r="D1348"/>
      <c r="E1348"/>
    </row>
    <row r="1349" spans="1:5" ht="15">
      <c r="A1349"/>
      <c r="B1349"/>
      <c r="C1349" s="539"/>
      <c r="D1349"/>
      <c r="E1349"/>
    </row>
    <row r="1350" spans="1:5" ht="15">
      <c r="A1350"/>
      <c r="B1350"/>
      <c r="C1350" s="539"/>
      <c r="D1350"/>
      <c r="E1350"/>
    </row>
    <row r="1351" spans="1:5" ht="15">
      <c r="A1351"/>
      <c r="B1351"/>
      <c r="C1351" s="539"/>
      <c r="D1351"/>
      <c r="E1351"/>
    </row>
    <row r="1352" spans="1:5" ht="15">
      <c r="A1352"/>
      <c r="B1352"/>
      <c r="C1352" s="539"/>
      <c r="D1352"/>
      <c r="E1352"/>
    </row>
    <row r="1353" spans="1:5" ht="15">
      <c r="A1353"/>
      <c r="B1353"/>
      <c r="C1353" s="539"/>
      <c r="D1353"/>
      <c r="E1353"/>
    </row>
    <row r="1354" spans="1:5" ht="15">
      <c r="A1354"/>
      <c r="B1354"/>
      <c r="C1354" s="539"/>
      <c r="D1354"/>
      <c r="E1354"/>
    </row>
    <row r="1355" spans="1:5" ht="15">
      <c r="A1355"/>
      <c r="B1355"/>
      <c r="C1355" s="539"/>
      <c r="D1355"/>
      <c r="E1355"/>
    </row>
    <row r="1356" spans="1:5" ht="15">
      <c r="A1356"/>
      <c r="B1356"/>
      <c r="C1356" s="539"/>
      <c r="D1356"/>
      <c r="E1356"/>
    </row>
    <row r="1357" spans="1:5" ht="15">
      <c r="A1357"/>
      <c r="B1357"/>
      <c r="C1357" s="539"/>
      <c r="D1357"/>
      <c r="E1357"/>
    </row>
    <row r="1358" spans="1:5" ht="15">
      <c r="A1358"/>
      <c r="B1358"/>
      <c r="C1358" s="539"/>
      <c r="D1358"/>
      <c r="E1358"/>
    </row>
    <row r="1359" spans="1:5" ht="15">
      <c r="A1359"/>
      <c r="B1359"/>
      <c r="C1359" s="539"/>
      <c r="D1359"/>
      <c r="E1359"/>
    </row>
    <row r="1360" spans="1:5" ht="15">
      <c r="A1360"/>
      <c r="B1360"/>
      <c r="C1360" s="539"/>
      <c r="D1360"/>
      <c r="E1360"/>
    </row>
    <row r="1361" spans="1:5" ht="15">
      <c r="A1361"/>
      <c r="B1361"/>
      <c r="C1361" s="539"/>
      <c r="D1361"/>
      <c r="E1361"/>
    </row>
    <row r="1362" spans="1:5" ht="15">
      <c r="A1362"/>
      <c r="B1362"/>
      <c r="C1362" s="539"/>
      <c r="D1362"/>
      <c r="E1362"/>
    </row>
    <row r="1363" spans="1:5" ht="15">
      <c r="A1363"/>
      <c r="B1363"/>
      <c r="C1363" s="539"/>
      <c r="D1363"/>
      <c r="E1363"/>
    </row>
    <row r="1364" spans="1:5" ht="15">
      <c r="A1364"/>
      <c r="B1364"/>
      <c r="C1364" s="539"/>
      <c r="D1364"/>
      <c r="E1364"/>
    </row>
    <row r="1365" spans="1:5" ht="15">
      <c r="A1365"/>
      <c r="B1365"/>
      <c r="C1365" s="539"/>
      <c r="D1365"/>
      <c r="E1365"/>
    </row>
    <row r="1366" spans="1:5" ht="15">
      <c r="A1366"/>
      <c r="B1366"/>
      <c r="C1366" s="539"/>
      <c r="D1366"/>
      <c r="E1366"/>
    </row>
    <row r="1367" spans="1:5" ht="15">
      <c r="A1367"/>
      <c r="B1367"/>
      <c r="C1367" s="539"/>
      <c r="D1367"/>
      <c r="E1367"/>
    </row>
    <row r="1368" spans="1:5" ht="15">
      <c r="A1368"/>
      <c r="B1368"/>
      <c r="C1368" s="539"/>
      <c r="D1368"/>
      <c r="E1368"/>
    </row>
    <row r="1369" spans="1:5" ht="15">
      <c r="A1369"/>
      <c r="B1369"/>
      <c r="C1369" s="539"/>
      <c r="D1369"/>
      <c r="E1369"/>
    </row>
    <row r="1370" spans="1:5" ht="15">
      <c r="A1370"/>
      <c r="B1370"/>
      <c r="C1370" s="539"/>
      <c r="D1370"/>
      <c r="E1370"/>
    </row>
    <row r="1371" spans="1:5" ht="15">
      <c r="A1371"/>
      <c r="B1371"/>
      <c r="C1371" s="539"/>
      <c r="D1371"/>
      <c r="E1371"/>
    </row>
    <row r="1372" spans="1:5" ht="15">
      <c r="A1372"/>
      <c r="B1372"/>
      <c r="C1372" s="539"/>
      <c r="D1372"/>
      <c r="E1372"/>
    </row>
    <row r="1373" spans="1:5" ht="15">
      <c r="A1373"/>
      <c r="B1373"/>
      <c r="C1373" s="539"/>
      <c r="D1373"/>
      <c r="E1373"/>
    </row>
    <row r="1374" spans="1:5" ht="15">
      <c r="A1374"/>
      <c r="B1374"/>
      <c r="C1374" s="539"/>
      <c r="D1374"/>
      <c r="E1374"/>
    </row>
    <row r="1375" spans="1:5" ht="15">
      <c r="A1375"/>
      <c r="B1375"/>
      <c r="C1375" s="539"/>
      <c r="D1375"/>
      <c r="E1375"/>
    </row>
    <row r="1376" spans="1:5" ht="15">
      <c r="A1376"/>
      <c r="B1376"/>
      <c r="C1376" s="539"/>
      <c r="D1376"/>
      <c r="E1376"/>
    </row>
    <row r="1377" spans="1:5" ht="15">
      <c r="A1377"/>
      <c r="B1377"/>
      <c r="C1377" s="539"/>
      <c r="D1377"/>
      <c r="E1377"/>
    </row>
    <row r="1378" spans="1:5" ht="15">
      <c r="A1378"/>
      <c r="B1378"/>
      <c r="C1378" s="539"/>
      <c r="D1378"/>
      <c r="E1378"/>
    </row>
    <row r="1379" spans="1:5" ht="15">
      <c r="A1379"/>
      <c r="B1379"/>
      <c r="C1379" s="539"/>
      <c r="D1379"/>
      <c r="E1379"/>
    </row>
    <row r="1380" spans="1:5" ht="15">
      <c r="A1380"/>
      <c r="B1380"/>
      <c r="C1380" s="539"/>
      <c r="D1380"/>
      <c r="E1380"/>
    </row>
    <row r="1381" spans="1:5" ht="15">
      <c r="A1381"/>
      <c r="B1381"/>
      <c r="C1381" s="539"/>
      <c r="D1381"/>
      <c r="E1381"/>
    </row>
    <row r="1382" spans="1:5" ht="15">
      <c r="A1382"/>
      <c r="B1382"/>
      <c r="C1382" s="539"/>
      <c r="D1382"/>
      <c r="E1382"/>
    </row>
    <row r="1383" spans="1:5" ht="15">
      <c r="A1383"/>
      <c r="B1383"/>
      <c r="C1383" s="539"/>
      <c r="D1383"/>
      <c r="E1383"/>
    </row>
    <row r="1384" spans="1:5" ht="15">
      <c r="A1384"/>
      <c r="B1384"/>
      <c r="C1384" s="539"/>
      <c r="D1384"/>
      <c r="E1384"/>
    </row>
    <row r="1385" spans="1:5" ht="15">
      <c r="A1385"/>
      <c r="B1385"/>
      <c r="C1385" s="539"/>
      <c r="D1385"/>
      <c r="E1385"/>
    </row>
    <row r="1386" spans="1:5" ht="15">
      <c r="A1386"/>
      <c r="B1386"/>
      <c r="C1386" s="539"/>
      <c r="D1386"/>
      <c r="E1386"/>
    </row>
    <row r="1387" spans="1:5" ht="15">
      <c r="A1387"/>
      <c r="B1387"/>
      <c r="C1387" s="539"/>
      <c r="D1387"/>
      <c r="E1387"/>
    </row>
    <row r="1388" spans="1:5" ht="15">
      <c r="A1388"/>
      <c r="B1388"/>
      <c r="C1388" s="539"/>
      <c r="D1388"/>
      <c r="E1388"/>
    </row>
    <row r="1389" spans="1:5" ht="15">
      <c r="A1389"/>
      <c r="B1389"/>
      <c r="C1389" s="539"/>
      <c r="D1389"/>
      <c r="E1389"/>
    </row>
    <row r="1390" spans="1:5" ht="15">
      <c r="A1390"/>
      <c r="B1390"/>
      <c r="C1390" s="539"/>
      <c r="D1390"/>
      <c r="E1390"/>
    </row>
    <row r="1391" spans="1:5" ht="15">
      <c r="A1391"/>
      <c r="B1391"/>
      <c r="C1391" s="539"/>
      <c r="D1391"/>
      <c r="E1391"/>
    </row>
    <row r="1392" spans="1:5" ht="15">
      <c r="A1392"/>
      <c r="B1392"/>
      <c r="C1392" s="539"/>
      <c r="D1392"/>
      <c r="E1392"/>
    </row>
    <row r="1393" spans="1:5" ht="15">
      <c r="A1393"/>
      <c r="B1393"/>
      <c r="C1393" s="539"/>
      <c r="D1393"/>
      <c r="E1393"/>
    </row>
    <row r="1394" spans="1:5" ht="15">
      <c r="A1394"/>
      <c r="B1394"/>
      <c r="C1394" s="539"/>
      <c r="D1394"/>
      <c r="E1394"/>
    </row>
    <row r="1395" spans="1:5" ht="15">
      <c r="A1395"/>
      <c r="B1395"/>
      <c r="C1395" s="539"/>
      <c r="D1395"/>
      <c r="E1395"/>
    </row>
    <row r="1396" spans="1:5" ht="15">
      <c r="A1396"/>
      <c r="B1396"/>
      <c r="C1396" s="539"/>
      <c r="D1396"/>
      <c r="E1396"/>
    </row>
    <row r="1397" spans="1:5" ht="15">
      <c r="A1397"/>
      <c r="B1397"/>
      <c r="C1397" s="539"/>
      <c r="D1397"/>
      <c r="E1397"/>
    </row>
    <row r="1398" spans="1:5" ht="15">
      <c r="A1398"/>
      <c r="B1398"/>
      <c r="C1398" s="539"/>
      <c r="D1398"/>
      <c r="E1398"/>
    </row>
    <row r="1399" spans="1:5" ht="15">
      <c r="A1399"/>
      <c r="B1399"/>
      <c r="C1399" s="539"/>
      <c r="D1399"/>
      <c r="E1399"/>
    </row>
    <row r="1400" spans="1:5" ht="15">
      <c r="A1400"/>
      <c r="B1400"/>
      <c r="C1400" s="539"/>
      <c r="D1400"/>
      <c r="E1400"/>
    </row>
    <row r="1401" spans="1:5" ht="15">
      <c r="A1401"/>
      <c r="B1401"/>
      <c r="C1401" s="539"/>
      <c r="D1401"/>
      <c r="E1401"/>
    </row>
    <row r="1402" spans="1:5" ht="15">
      <c r="A1402"/>
      <c r="B1402"/>
      <c r="C1402" s="539"/>
      <c r="D1402"/>
      <c r="E1402"/>
    </row>
    <row r="1403" spans="1:5" ht="15">
      <c r="A1403"/>
      <c r="B1403"/>
      <c r="C1403" s="539"/>
      <c r="D1403"/>
      <c r="E1403"/>
    </row>
    <row r="1404" spans="1:5" ht="15">
      <c r="A1404"/>
      <c r="B1404"/>
      <c r="C1404" s="539"/>
      <c r="D1404"/>
      <c r="E1404"/>
    </row>
    <row r="1405" spans="1:5" ht="15">
      <c r="A1405"/>
      <c r="B1405"/>
      <c r="C1405" s="539"/>
      <c r="D1405"/>
      <c r="E1405"/>
    </row>
    <row r="1406" spans="1:5" ht="15">
      <c r="A1406"/>
      <c r="B1406"/>
      <c r="C1406" s="539"/>
      <c r="D1406"/>
      <c r="E1406"/>
    </row>
    <row r="1407" spans="1:5" ht="15">
      <c r="A1407"/>
      <c r="B1407"/>
      <c r="C1407" s="539"/>
      <c r="D1407"/>
      <c r="E1407"/>
    </row>
    <row r="1408" spans="1:5" ht="15">
      <c r="A1408"/>
      <c r="B1408"/>
      <c r="C1408" s="539"/>
      <c r="D1408"/>
      <c r="E1408"/>
    </row>
    <row r="1409" spans="1:5" ht="15">
      <c r="A1409"/>
      <c r="B1409"/>
      <c r="C1409" s="539"/>
      <c r="D1409"/>
      <c r="E1409"/>
    </row>
    <row r="1410" spans="1:5" ht="15">
      <c r="A1410"/>
      <c r="B1410"/>
      <c r="C1410" s="539"/>
      <c r="D1410"/>
      <c r="E1410"/>
    </row>
    <row r="1411" spans="1:5" ht="15">
      <c r="A1411"/>
      <c r="B1411"/>
      <c r="C1411" s="539"/>
      <c r="D1411"/>
      <c r="E1411"/>
    </row>
    <row r="1412" spans="1:5" ht="15">
      <c r="A1412"/>
      <c r="B1412"/>
      <c r="C1412" s="539"/>
      <c r="D1412"/>
      <c r="E1412"/>
    </row>
    <row r="1413" spans="1:5" ht="15">
      <c r="A1413"/>
      <c r="B1413"/>
      <c r="C1413" s="539"/>
      <c r="D1413"/>
      <c r="E1413"/>
    </row>
    <row r="1414" spans="1:5" ht="15">
      <c r="A1414"/>
      <c r="B1414"/>
      <c r="C1414" s="539"/>
      <c r="D1414"/>
      <c r="E1414"/>
    </row>
    <row r="1415" spans="1:5" ht="15">
      <c r="A1415"/>
      <c r="B1415"/>
      <c r="C1415" s="539"/>
      <c r="D1415"/>
      <c r="E1415"/>
    </row>
    <row r="1416" spans="1:5" ht="15">
      <c r="A1416"/>
      <c r="B1416"/>
      <c r="C1416" s="539"/>
      <c r="D1416"/>
      <c r="E1416"/>
    </row>
    <row r="1417" spans="1:5" ht="15">
      <c r="A1417"/>
      <c r="B1417"/>
      <c r="C1417" s="539"/>
      <c r="D1417"/>
      <c r="E1417"/>
    </row>
    <row r="1418" spans="1:5" ht="15">
      <c r="A1418"/>
      <c r="B1418"/>
      <c r="C1418" s="539"/>
      <c r="D1418"/>
      <c r="E1418"/>
    </row>
    <row r="1419" spans="1:5" ht="15">
      <c r="A1419"/>
      <c r="B1419"/>
      <c r="C1419" s="539"/>
      <c r="D1419"/>
      <c r="E1419"/>
    </row>
    <row r="1420" spans="1:5" ht="15">
      <c r="A1420"/>
      <c r="B1420"/>
      <c r="C1420" s="539"/>
      <c r="D1420"/>
      <c r="E1420"/>
    </row>
    <row r="1421" spans="1:5" ht="15">
      <c r="A1421"/>
      <c r="B1421"/>
      <c r="C1421" s="539"/>
      <c r="D1421"/>
      <c r="E1421"/>
    </row>
    <row r="1422" spans="1:5" ht="15">
      <c r="A1422"/>
      <c r="B1422"/>
      <c r="C1422" s="539"/>
      <c r="D1422"/>
      <c r="E1422"/>
    </row>
    <row r="1423" spans="1:5" ht="15">
      <c r="A1423"/>
      <c r="B1423"/>
      <c r="C1423" s="539"/>
      <c r="D1423"/>
      <c r="E1423"/>
    </row>
    <row r="1424" spans="1:5" ht="15">
      <c r="A1424"/>
      <c r="B1424"/>
      <c r="C1424" s="539"/>
      <c r="D1424"/>
      <c r="E1424"/>
    </row>
    <row r="1425" spans="1:5" ht="15">
      <c r="A1425"/>
      <c r="B1425"/>
      <c r="C1425" s="539"/>
      <c r="D1425"/>
      <c r="E1425"/>
    </row>
    <row r="1426" spans="1:5" ht="15">
      <c r="A1426"/>
      <c r="B1426"/>
      <c r="C1426" s="539"/>
      <c r="D1426"/>
      <c r="E1426"/>
    </row>
    <row r="1427" spans="1:5" ht="15">
      <c r="A1427"/>
      <c r="B1427"/>
      <c r="C1427" s="539"/>
      <c r="D1427"/>
      <c r="E1427"/>
    </row>
    <row r="1428" spans="1:5" ht="15">
      <c r="A1428"/>
      <c r="B1428"/>
      <c r="C1428" s="539"/>
      <c r="D1428"/>
      <c r="E1428"/>
    </row>
    <row r="1429" spans="1:5" ht="15">
      <c r="A1429"/>
      <c r="B1429"/>
      <c r="C1429" s="539"/>
      <c r="D1429"/>
      <c r="E1429"/>
    </row>
    <row r="1430" spans="1:5" ht="15">
      <c r="A1430"/>
      <c r="B1430"/>
      <c r="C1430" s="539"/>
      <c r="D1430"/>
      <c r="E1430"/>
    </row>
    <row r="1431" spans="1:5" ht="15">
      <c r="A1431"/>
      <c r="B1431"/>
      <c r="C1431" s="539"/>
      <c r="D1431"/>
      <c r="E1431"/>
    </row>
    <row r="1432" spans="1:5" ht="15">
      <c r="A1432"/>
      <c r="B1432"/>
      <c r="C1432" s="539"/>
      <c r="D1432"/>
      <c r="E1432"/>
    </row>
    <row r="1433" spans="1:5" ht="15">
      <c r="A1433"/>
      <c r="B1433"/>
      <c r="C1433" s="539"/>
      <c r="D1433"/>
      <c r="E1433"/>
    </row>
    <row r="1434" spans="1:5" ht="15">
      <c r="A1434"/>
      <c r="B1434"/>
      <c r="C1434" s="539"/>
      <c r="D1434"/>
      <c r="E1434"/>
    </row>
    <row r="1435" spans="1:5" ht="15">
      <c r="A1435"/>
      <c r="B1435"/>
      <c r="C1435" s="539"/>
      <c r="D1435"/>
      <c r="E1435"/>
    </row>
    <row r="1436" spans="1:5" ht="15">
      <c r="A1436"/>
      <c r="B1436"/>
      <c r="C1436" s="539"/>
      <c r="D1436"/>
      <c r="E1436"/>
    </row>
    <row r="1437" spans="1:5" ht="15">
      <c r="A1437"/>
      <c r="B1437"/>
      <c r="C1437" s="539"/>
      <c r="D1437"/>
      <c r="E1437"/>
    </row>
    <row r="1438" spans="1:5" ht="15">
      <c r="A1438"/>
      <c r="B1438"/>
      <c r="C1438" s="539"/>
      <c r="D1438"/>
      <c r="E1438"/>
    </row>
    <row r="1439" spans="1:5" ht="15">
      <c r="A1439"/>
      <c r="B1439"/>
      <c r="C1439" s="539"/>
      <c r="D1439"/>
      <c r="E1439"/>
    </row>
    <row r="1440" spans="1:5" ht="15">
      <c r="A1440"/>
      <c r="B1440"/>
      <c r="C1440" s="539"/>
      <c r="D1440"/>
      <c r="E1440"/>
    </row>
    <row r="1441" spans="1:5" ht="15">
      <c r="A1441"/>
      <c r="B1441"/>
      <c r="C1441" s="539"/>
      <c r="D1441"/>
      <c r="E1441"/>
    </row>
    <row r="1442" spans="1:5" ht="15">
      <c r="A1442"/>
      <c r="B1442"/>
      <c r="C1442" s="539"/>
      <c r="D1442"/>
      <c r="E1442"/>
    </row>
    <row r="1443" spans="1:5" ht="15">
      <c r="A1443"/>
      <c r="B1443"/>
      <c r="C1443" s="539"/>
      <c r="D1443"/>
      <c r="E1443"/>
    </row>
    <row r="1444" spans="1:5" ht="15">
      <c r="A1444"/>
      <c r="B1444"/>
      <c r="C1444" s="539"/>
      <c r="D1444"/>
      <c r="E1444"/>
    </row>
    <row r="1445" spans="1:5" ht="15">
      <c r="A1445"/>
      <c r="B1445"/>
      <c r="C1445" s="539"/>
      <c r="D1445"/>
      <c r="E1445"/>
    </row>
    <row r="1446" spans="1:5" ht="15">
      <c r="A1446"/>
      <c r="B1446"/>
      <c r="C1446" s="539"/>
      <c r="D1446"/>
      <c r="E1446"/>
    </row>
    <row r="1447" spans="1:5" ht="15">
      <c r="A1447"/>
      <c r="B1447"/>
      <c r="C1447" s="539"/>
      <c r="D1447"/>
      <c r="E1447"/>
    </row>
    <row r="1448" spans="1:5" ht="15">
      <c r="A1448"/>
      <c r="B1448"/>
      <c r="C1448" s="539"/>
      <c r="D1448"/>
      <c r="E1448"/>
    </row>
    <row r="1449" spans="1:5" ht="15">
      <c r="A1449"/>
      <c r="B1449"/>
      <c r="C1449" s="539"/>
      <c r="D1449"/>
      <c r="E1449"/>
    </row>
    <row r="1450" spans="1:5" ht="15">
      <c r="A1450"/>
      <c r="B1450"/>
      <c r="C1450" s="539"/>
      <c r="D1450"/>
      <c r="E1450"/>
    </row>
    <row r="1451" spans="1:5" ht="15">
      <c r="A1451"/>
      <c r="B1451"/>
      <c r="C1451" s="539"/>
      <c r="D1451"/>
      <c r="E1451"/>
    </row>
    <row r="1452" spans="1:5" ht="15">
      <c r="A1452"/>
      <c r="B1452"/>
      <c r="C1452" s="539"/>
      <c r="D1452"/>
      <c r="E1452"/>
    </row>
    <row r="1453" spans="1:5" ht="15">
      <c r="A1453"/>
      <c r="B1453"/>
      <c r="C1453" s="539"/>
      <c r="D1453"/>
      <c r="E1453"/>
    </row>
    <row r="1454" spans="1:5" ht="15">
      <c r="A1454"/>
      <c r="B1454"/>
      <c r="C1454" s="539"/>
      <c r="D1454"/>
      <c r="E1454"/>
    </row>
    <row r="1455" spans="1:5" ht="15">
      <c r="A1455"/>
      <c r="B1455"/>
      <c r="C1455" s="539"/>
      <c r="D1455"/>
      <c r="E1455"/>
    </row>
    <row r="1456" spans="1:5" ht="15">
      <c r="A1456"/>
      <c r="B1456"/>
      <c r="C1456" s="539"/>
      <c r="D1456"/>
      <c r="E1456"/>
    </row>
    <row r="1457" spans="1:5" ht="15">
      <c r="A1457"/>
      <c r="B1457"/>
      <c r="C1457" s="539"/>
      <c r="D1457"/>
      <c r="E1457"/>
    </row>
    <row r="1458" spans="1:5" ht="15">
      <c r="A1458"/>
      <c r="B1458"/>
      <c r="C1458" s="539"/>
      <c r="D1458"/>
      <c r="E1458"/>
    </row>
    <row r="1459" spans="1:5" ht="15">
      <c r="A1459"/>
      <c r="B1459"/>
      <c r="C1459" s="539"/>
      <c r="D1459"/>
      <c r="E1459"/>
    </row>
    <row r="1460" spans="1:5" ht="15">
      <c r="A1460"/>
      <c r="B1460"/>
      <c r="C1460" s="539"/>
      <c r="D1460"/>
      <c r="E1460"/>
    </row>
    <row r="1461" spans="1:5" ht="15">
      <c r="A1461"/>
      <c r="B1461"/>
      <c r="C1461" s="539"/>
      <c r="D1461"/>
      <c r="E1461"/>
    </row>
    <row r="1462" spans="1:5" ht="15">
      <c r="A1462"/>
      <c r="B1462"/>
      <c r="C1462" s="539"/>
      <c r="D1462"/>
      <c r="E1462"/>
    </row>
    <row r="1463" spans="1:5" ht="15">
      <c r="A1463"/>
      <c r="B1463"/>
      <c r="C1463" s="539"/>
      <c r="D1463"/>
      <c r="E1463"/>
    </row>
    <row r="1464" spans="1:5" ht="15">
      <c r="A1464"/>
      <c r="B1464"/>
      <c r="C1464" s="539"/>
      <c r="D1464"/>
      <c r="E1464"/>
    </row>
    <row r="1465" spans="1:5" ht="15">
      <c r="A1465"/>
      <c r="B1465"/>
      <c r="C1465" s="539"/>
      <c r="D1465"/>
      <c r="E1465"/>
    </row>
    <row r="1466" spans="1:5" ht="15">
      <c r="A1466"/>
      <c r="B1466"/>
      <c r="C1466" s="539"/>
      <c r="D1466"/>
      <c r="E1466"/>
    </row>
    <row r="1467" spans="1:5" ht="15">
      <c r="A1467"/>
      <c r="B1467"/>
      <c r="C1467" s="539"/>
      <c r="D1467"/>
      <c r="E1467"/>
    </row>
    <row r="1468" spans="1:5" ht="15">
      <c r="A1468"/>
      <c r="B1468"/>
      <c r="C1468" s="539"/>
      <c r="D1468"/>
      <c r="E1468"/>
    </row>
    <row r="1469" spans="1:5" ht="15">
      <c r="A1469"/>
      <c r="B1469"/>
      <c r="C1469" s="539"/>
      <c r="D1469"/>
      <c r="E1469"/>
    </row>
    <row r="1470" spans="1:5" ht="15">
      <c r="A1470"/>
      <c r="B1470"/>
      <c r="C1470" s="539"/>
      <c r="D1470"/>
      <c r="E1470"/>
    </row>
    <row r="1471" spans="1:5" ht="15">
      <c r="A1471"/>
      <c r="B1471"/>
      <c r="C1471" s="539"/>
      <c r="D1471"/>
      <c r="E1471"/>
    </row>
    <row r="1472" spans="1:5" ht="15">
      <c r="A1472"/>
      <c r="B1472"/>
      <c r="C1472" s="539"/>
      <c r="D1472"/>
      <c r="E1472"/>
    </row>
    <row r="1473" spans="1:5" ht="15">
      <c r="A1473"/>
      <c r="B1473"/>
      <c r="C1473" s="539"/>
      <c r="D1473"/>
      <c r="E1473"/>
    </row>
    <row r="1474" spans="1:5" ht="15">
      <c r="A1474"/>
      <c r="B1474"/>
      <c r="C1474" s="539"/>
      <c r="D1474"/>
      <c r="E1474"/>
    </row>
    <row r="1475" spans="1:5" ht="15">
      <c r="A1475"/>
      <c r="B1475"/>
      <c r="C1475" s="539"/>
      <c r="D1475"/>
      <c r="E1475"/>
    </row>
    <row r="1476" spans="1:5" ht="15">
      <c r="A1476"/>
      <c r="B1476"/>
      <c r="C1476" s="539"/>
      <c r="D1476"/>
      <c r="E1476"/>
    </row>
    <row r="1477" spans="1:5" ht="15">
      <c r="A1477"/>
      <c r="B1477"/>
      <c r="C1477" s="539"/>
      <c r="D1477"/>
      <c r="E1477"/>
    </row>
    <row r="1478" spans="1:5" ht="15">
      <c r="A1478"/>
      <c r="B1478"/>
      <c r="C1478" s="539"/>
      <c r="D1478"/>
      <c r="E1478"/>
    </row>
    <row r="1479" spans="1:5" ht="15">
      <c r="A1479"/>
      <c r="B1479"/>
      <c r="C1479" s="539"/>
      <c r="D1479"/>
      <c r="E1479"/>
    </row>
    <row r="1480" spans="1:5" ht="15">
      <c r="A1480"/>
      <c r="B1480"/>
      <c r="C1480" s="539"/>
      <c r="D1480"/>
      <c r="E1480"/>
    </row>
    <row r="1481" spans="1:5" ht="15">
      <c r="A1481"/>
      <c r="B1481"/>
      <c r="C1481" s="539"/>
      <c r="D1481"/>
      <c r="E1481"/>
    </row>
    <row r="1482" spans="1:5" ht="15">
      <c r="A1482"/>
      <c r="B1482"/>
      <c r="C1482" s="539"/>
      <c r="D1482"/>
      <c r="E1482"/>
    </row>
    <row r="1483" spans="1:5" ht="15">
      <c r="A1483"/>
      <c r="B1483"/>
      <c r="C1483" s="539"/>
      <c r="D1483"/>
      <c r="E1483"/>
    </row>
    <row r="1484" spans="1:5" ht="15">
      <c r="A1484"/>
      <c r="B1484"/>
      <c r="C1484" s="539"/>
      <c r="D1484"/>
      <c r="E1484"/>
    </row>
    <row r="1485" spans="1:5" ht="15">
      <c r="A1485"/>
      <c r="B1485"/>
      <c r="C1485" s="539"/>
      <c r="D1485"/>
      <c r="E1485"/>
    </row>
    <row r="1486" spans="1:5" ht="15">
      <c r="A1486"/>
      <c r="B1486"/>
      <c r="C1486" s="539"/>
      <c r="D1486"/>
      <c r="E1486"/>
    </row>
    <row r="1487" spans="1:5" ht="15">
      <c r="A1487"/>
      <c r="B1487"/>
      <c r="C1487" s="539"/>
      <c r="D1487"/>
      <c r="E1487"/>
    </row>
    <row r="1488" spans="1:5" ht="15">
      <c r="A1488"/>
      <c r="B1488"/>
      <c r="C1488" s="539"/>
      <c r="D1488"/>
      <c r="E1488"/>
    </row>
    <row r="1489" spans="1:5" ht="15">
      <c r="A1489"/>
      <c r="B1489"/>
      <c r="C1489" s="539"/>
      <c r="D1489"/>
      <c r="E1489"/>
    </row>
    <row r="1490" spans="1:5" ht="15">
      <c r="A1490"/>
      <c r="B1490"/>
      <c r="C1490" s="539"/>
      <c r="D1490"/>
      <c r="E1490"/>
    </row>
    <row r="1491" spans="1:5" ht="15">
      <c r="A1491"/>
      <c r="B1491"/>
      <c r="C1491" s="539"/>
      <c r="D1491"/>
      <c r="E1491"/>
    </row>
    <row r="1492" spans="1:5" ht="15">
      <c r="A1492"/>
      <c r="B1492"/>
      <c r="C1492" s="539"/>
      <c r="D1492"/>
      <c r="E1492"/>
    </row>
    <row r="1493" spans="1:5" ht="15">
      <c r="A1493"/>
      <c r="B1493"/>
      <c r="C1493" s="539"/>
      <c r="D1493"/>
      <c r="E1493"/>
    </row>
    <row r="1494" spans="1:5" ht="15">
      <c r="A1494"/>
      <c r="B1494"/>
      <c r="C1494" s="539"/>
      <c r="D1494"/>
      <c r="E1494"/>
    </row>
    <row r="1495" spans="1:5" ht="15">
      <c r="A1495"/>
      <c r="B1495"/>
      <c r="C1495" s="539"/>
      <c r="D1495"/>
      <c r="E1495"/>
    </row>
    <row r="1496" spans="1:5" ht="15">
      <c r="A1496"/>
      <c r="B1496"/>
      <c r="C1496" s="539"/>
      <c r="D1496"/>
      <c r="E1496"/>
    </row>
    <row r="1497" spans="1:5" ht="15">
      <c r="A1497"/>
      <c r="B1497"/>
      <c r="C1497" s="539"/>
      <c r="D1497"/>
      <c r="E1497"/>
    </row>
    <row r="1498" spans="1:5" ht="15">
      <c r="A1498"/>
      <c r="B1498"/>
      <c r="C1498" s="539"/>
      <c r="D1498"/>
      <c r="E1498"/>
    </row>
    <row r="1499" spans="1:5" ht="15">
      <c r="A1499"/>
      <c r="B1499"/>
      <c r="C1499" s="539"/>
      <c r="D1499"/>
      <c r="E1499"/>
    </row>
    <row r="1500" spans="1:5" ht="15">
      <c r="A1500"/>
      <c r="B1500"/>
      <c r="C1500" s="539"/>
      <c r="D1500"/>
      <c r="E1500"/>
    </row>
    <row r="1501" spans="1:5" ht="15">
      <c r="A1501"/>
      <c r="B1501"/>
      <c r="C1501" s="539"/>
      <c r="D1501"/>
      <c r="E1501"/>
    </row>
    <row r="1502" spans="1:5" ht="15">
      <c r="A1502"/>
      <c r="B1502"/>
      <c r="C1502" s="539"/>
      <c r="D1502"/>
      <c r="E1502"/>
    </row>
    <row r="1503" spans="1:5" ht="15">
      <c r="A1503"/>
      <c r="B1503"/>
      <c r="C1503" s="539"/>
      <c r="D1503"/>
      <c r="E1503"/>
    </row>
    <row r="1504" spans="1:5" ht="15">
      <c r="A1504"/>
      <c r="B1504"/>
      <c r="C1504" s="539"/>
      <c r="D1504"/>
      <c r="E1504"/>
    </row>
    <row r="1505" spans="1:5" ht="15">
      <c r="A1505"/>
      <c r="B1505"/>
      <c r="C1505" s="539"/>
      <c r="D1505"/>
      <c r="E1505"/>
    </row>
    <row r="1506" spans="1:5" ht="15">
      <c r="A1506"/>
      <c r="B1506"/>
      <c r="C1506" s="539"/>
      <c r="D1506"/>
      <c r="E1506"/>
    </row>
    <row r="1507" spans="1:5" ht="15">
      <c r="A1507"/>
      <c r="B1507"/>
      <c r="C1507" s="539"/>
      <c r="D1507"/>
      <c r="E1507"/>
    </row>
    <row r="1508" spans="1:5" ht="15">
      <c r="A1508"/>
      <c r="B1508"/>
      <c r="C1508" s="539"/>
      <c r="D1508"/>
      <c r="E1508"/>
    </row>
    <row r="1509" spans="1:5" ht="15">
      <c r="A1509"/>
      <c r="B1509"/>
      <c r="C1509" s="539"/>
      <c r="D1509"/>
      <c r="E1509"/>
    </row>
    <row r="1510" spans="1:5" ht="15">
      <c r="A1510"/>
      <c r="B1510"/>
      <c r="C1510" s="539"/>
      <c r="D1510"/>
      <c r="E1510"/>
    </row>
    <row r="1511" spans="1:5" ht="15">
      <c r="A1511"/>
      <c r="B1511"/>
      <c r="C1511" s="539"/>
      <c r="D1511"/>
      <c r="E1511"/>
    </row>
    <row r="1512" spans="1:5" ht="15">
      <c r="A1512"/>
      <c r="B1512"/>
      <c r="C1512" s="539"/>
      <c r="D1512"/>
      <c r="E1512"/>
    </row>
    <row r="1513" spans="1:5" ht="15">
      <c r="A1513"/>
      <c r="B1513"/>
      <c r="C1513" s="539"/>
      <c r="D1513"/>
      <c r="E1513"/>
    </row>
    <row r="1514" spans="1:5" ht="15">
      <c r="A1514"/>
      <c r="B1514"/>
      <c r="C1514" s="539"/>
      <c r="D1514"/>
      <c r="E1514"/>
    </row>
    <row r="1515" spans="1:5" ht="15">
      <c r="A1515"/>
      <c r="B1515"/>
      <c r="C1515" s="539"/>
      <c r="D1515"/>
      <c r="E1515"/>
    </row>
    <row r="1516" spans="1:5" ht="15">
      <c r="A1516"/>
      <c r="B1516"/>
      <c r="C1516" s="539"/>
      <c r="D1516"/>
      <c r="E1516"/>
    </row>
    <row r="1517" spans="1:5" ht="15">
      <c r="A1517"/>
      <c r="B1517"/>
      <c r="C1517" s="539"/>
      <c r="D1517"/>
      <c r="E1517"/>
    </row>
    <row r="1518" spans="1:5" ht="15">
      <c r="A1518"/>
      <c r="B1518"/>
      <c r="C1518" s="539"/>
      <c r="D1518"/>
      <c r="E1518"/>
    </row>
    <row r="1519" spans="1:5" ht="15">
      <c r="A1519"/>
      <c r="B1519"/>
      <c r="C1519" s="539"/>
      <c r="D1519"/>
      <c r="E1519"/>
    </row>
  </sheetData>
  <pageMargins left="0.47244094488189" right="0.551181102362205" top="0.62992125984252" bottom="0.511811023622047" header="0.31496062992126" footer="0.31496062992126"/>
  <pageSetup fitToHeight="0" orientation="portrait" paperSize="9" scale="64" r:id="rId1"/>
  <headerFooter>
    <oddHeader>&amp;RTabulka č. 11
strana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54"/>
  <sheetViews>
    <sheetView workbookViewId="0" topLeftCell="A1">
      <selection pane="topLeft" activeCell="E1" sqref="E1"/>
    </sheetView>
  </sheetViews>
  <sheetFormatPr defaultRowHeight="15"/>
  <cols>
    <col min="1" max="1" width="25.5714285714286" style="277" customWidth="1"/>
    <col min="2" max="2" width="22.8571428571429" style="277" customWidth="1"/>
    <col min="3" max="3" width="77.8571428571429" style="277" customWidth="1"/>
    <col min="4" max="4" width="20.2857142857143" style="277" customWidth="1"/>
    <col min="5" max="5" width="22" style="277" bestFit="1" customWidth="1"/>
    <col min="6" max="16384" width="9.28571428571429" style="277"/>
  </cols>
  <sheetData>
    <row r="1" spans="1:2" ht="20.25">
      <c r="A1" s="355"/>
      <c r="B1" s="278"/>
    </row>
    <row r="2" spans="2:4" ht="35.25" customHeight="1">
      <c r="B2" s="572" t="s">
        <v>418</v>
      </c>
      <c r="C2" s="572"/>
      <c r="D2" s="572"/>
    </row>
    <row r="3" spans="2:3" ht="15">
      <c r="B3" s="356" t="s">
        <v>419</v>
      </c>
      <c r="C3" s="278"/>
    </row>
    <row r="4" spans="2:3" ht="15">
      <c r="B4" s="277" t="s">
        <v>420</v>
      </c>
      <c r="C4" s="278" t="s">
        <v>421</v>
      </c>
    </row>
    <row r="5" ht="15">
      <c r="C5" s="278"/>
    </row>
    <row r="6" ht="15">
      <c r="C6" s="278"/>
    </row>
    <row r="7" ht="15">
      <c r="C7" s="278"/>
    </row>
    <row r="8" spans="1:5" ht="15">
      <c r="A8" s="431"/>
      <c r="B8" s="431"/>
      <c r="C8" s="431"/>
      <c r="D8" s="431" t="s">
        <v>422</v>
      </c>
      <c r="E8" s="431"/>
    </row>
    <row r="9" spans="1:5" ht="15">
      <c r="A9" s="431" t="s">
        <v>66</v>
      </c>
      <c r="B9" s="431" t="s">
        <v>423</v>
      </c>
      <c r="C9" s="432" t="s">
        <v>424</v>
      </c>
      <c r="D9" s="431" t="s">
        <v>425</v>
      </c>
      <c r="E9" s="431" t="s">
        <v>426</v>
      </c>
    </row>
    <row r="10" spans="1:5" ht="15">
      <c r="A10" s="431" t="s">
        <v>427</v>
      </c>
      <c r="B10" s="431" t="s">
        <v>428</v>
      </c>
      <c r="C10" s="432" t="s">
        <v>429</v>
      </c>
      <c r="D10" s="434">
        <v>200000</v>
      </c>
      <c r="E10" s="434">
        <v>200000</v>
      </c>
    </row>
    <row r="11" spans="1:5" ht="15">
      <c r="A11" s="431"/>
      <c r="B11" s="432" t="s">
        <v>430</v>
      </c>
      <c r="C11" s="432"/>
      <c r="D11" s="434">
        <v>200000</v>
      </c>
      <c r="E11" s="434">
        <v>200000</v>
      </c>
    </row>
    <row r="12" spans="1:5" ht="15">
      <c r="A12" s="435" t="s">
        <v>431</v>
      </c>
      <c r="B12" s="435"/>
      <c r="C12" s="435"/>
      <c r="D12" s="436">
        <v>200000</v>
      </c>
      <c r="E12" s="436">
        <v>200000</v>
      </c>
    </row>
    <row r="13" spans="1:5" ht="15">
      <c r="A13" s="431" t="s">
        <v>432</v>
      </c>
      <c r="B13" s="433">
        <v>43589</v>
      </c>
      <c r="C13" s="431" t="s">
        <v>433</v>
      </c>
      <c r="D13" s="434">
        <v>64801539</v>
      </c>
      <c r="E13" s="434">
        <v>0</v>
      </c>
    </row>
    <row r="14" spans="1:5" ht="15">
      <c r="A14" s="431"/>
      <c r="B14" s="431"/>
      <c r="C14" s="431" t="s">
        <v>434</v>
      </c>
      <c r="D14" s="434">
        <v>13066200</v>
      </c>
      <c r="E14" s="434">
        <v>0</v>
      </c>
    </row>
    <row r="15" spans="1:5" ht="15">
      <c r="A15" s="431"/>
      <c r="B15" s="431" t="s">
        <v>435</v>
      </c>
      <c r="C15" s="431"/>
      <c r="D15" s="434">
        <v>77867739</v>
      </c>
      <c r="E15" s="434">
        <v>0</v>
      </c>
    </row>
    <row r="16" spans="1:5" ht="15">
      <c r="A16" s="435" t="s">
        <v>436</v>
      </c>
      <c r="B16" s="435"/>
      <c r="C16" s="435"/>
      <c r="D16" s="436">
        <v>77867739</v>
      </c>
      <c r="E16" s="436">
        <v>0</v>
      </c>
    </row>
    <row r="17" spans="1:5" ht="15">
      <c r="A17" s="431" t="s">
        <v>437</v>
      </c>
      <c r="B17" s="431" t="s">
        <v>428</v>
      </c>
      <c r="C17" s="432" t="s">
        <v>429</v>
      </c>
      <c r="D17" s="434">
        <v>28000000</v>
      </c>
      <c r="E17" s="434">
        <v>28000000</v>
      </c>
    </row>
    <row r="18" spans="1:5" ht="15">
      <c r="A18" s="431"/>
      <c r="B18" s="432" t="s">
        <v>430</v>
      </c>
      <c r="C18" s="432"/>
      <c r="D18" s="434">
        <v>28000000</v>
      </c>
      <c r="E18" s="434">
        <v>28000000</v>
      </c>
    </row>
    <row r="19" spans="1:5" ht="15">
      <c r="A19" s="435" t="s">
        <v>438</v>
      </c>
      <c r="B19" s="435"/>
      <c r="C19" s="435"/>
      <c r="D19" s="436">
        <v>28000000</v>
      </c>
      <c r="E19" s="436">
        <v>28000000</v>
      </c>
    </row>
    <row r="20" spans="1:5" ht="15">
      <c r="A20" s="431" t="s">
        <v>439</v>
      </c>
      <c r="B20" s="431" t="s">
        <v>428</v>
      </c>
      <c r="C20" s="432" t="s">
        <v>429</v>
      </c>
      <c r="D20" s="434">
        <v>-20000000</v>
      </c>
      <c r="E20" s="434">
        <v>-20000000</v>
      </c>
    </row>
    <row r="21" spans="1:5" ht="15">
      <c r="A21" s="431"/>
      <c r="B21" s="432" t="s">
        <v>430</v>
      </c>
      <c r="C21" s="432"/>
      <c r="D21" s="434">
        <v>-20000000</v>
      </c>
      <c r="E21" s="434">
        <v>-20000000</v>
      </c>
    </row>
    <row r="22" spans="1:5" ht="15">
      <c r="A22" s="431"/>
      <c r="B22" s="433">
        <v>43589</v>
      </c>
      <c r="C22" s="431" t="s">
        <v>433</v>
      </c>
      <c r="D22" s="434">
        <v>28135000</v>
      </c>
      <c r="E22" s="434">
        <v>0</v>
      </c>
    </row>
    <row r="23" spans="1:5" ht="15">
      <c r="A23" s="431"/>
      <c r="B23" s="431" t="s">
        <v>435</v>
      </c>
      <c r="C23" s="431"/>
      <c r="D23" s="434">
        <v>28135000</v>
      </c>
      <c r="E23" s="434">
        <v>0</v>
      </c>
    </row>
    <row r="24" spans="1:5" ht="15">
      <c r="A24" s="435" t="s">
        <v>440</v>
      </c>
      <c r="B24" s="435"/>
      <c r="C24" s="435"/>
      <c r="D24" s="436">
        <v>8135000</v>
      </c>
      <c r="E24" s="436">
        <v>-20000000</v>
      </c>
    </row>
    <row r="25" spans="1:5" ht="15">
      <c r="A25" s="431" t="s">
        <v>67</v>
      </c>
      <c r="B25" s="431" t="s">
        <v>428</v>
      </c>
      <c r="C25" s="432" t="s">
        <v>441</v>
      </c>
      <c r="D25" s="434">
        <v>-200000000</v>
      </c>
      <c r="E25" s="434">
        <v>-200000000</v>
      </c>
    </row>
    <row r="26" spans="1:5" ht="15">
      <c r="A26" s="431"/>
      <c r="B26" s="431"/>
      <c r="C26" s="432" t="s">
        <v>442</v>
      </c>
      <c r="D26" s="434">
        <v>0</v>
      </c>
      <c r="E26" s="434">
        <v>79707379</v>
      </c>
    </row>
    <row r="27" spans="1:5" ht="15">
      <c r="A27" s="431"/>
      <c r="B27" s="432" t="s">
        <v>430</v>
      </c>
      <c r="C27" s="432"/>
      <c r="D27" s="434">
        <v>-200000000</v>
      </c>
      <c r="E27" s="434">
        <v>-120292621</v>
      </c>
    </row>
    <row r="28" spans="1:5" ht="15">
      <c r="A28" s="431"/>
      <c r="B28" s="433">
        <v>43589</v>
      </c>
      <c r="C28" s="431" t="s">
        <v>433</v>
      </c>
      <c r="D28" s="434">
        <v>198354675</v>
      </c>
      <c r="E28" s="434">
        <v>0</v>
      </c>
    </row>
    <row r="29" spans="1:5" ht="15">
      <c r="A29" s="431"/>
      <c r="B29" s="431" t="s">
        <v>435</v>
      </c>
      <c r="C29" s="431"/>
      <c r="D29" s="434">
        <v>198354675</v>
      </c>
      <c r="E29" s="434">
        <v>0</v>
      </c>
    </row>
    <row r="30" spans="1:5" ht="15">
      <c r="A30" s="435" t="s">
        <v>443</v>
      </c>
      <c r="B30" s="435"/>
      <c r="C30" s="435"/>
      <c r="D30" s="436">
        <v>-1645325</v>
      </c>
      <c r="E30" s="436">
        <v>-120292621</v>
      </c>
    </row>
    <row r="31" spans="1:5" ht="15">
      <c r="A31" s="431" t="s">
        <v>444</v>
      </c>
      <c r="B31" s="431" t="s">
        <v>428</v>
      </c>
      <c r="C31" s="431" t="s">
        <v>445</v>
      </c>
      <c r="D31" s="434">
        <v>240210</v>
      </c>
      <c r="E31" s="434">
        <v>0</v>
      </c>
    </row>
    <row r="32" spans="1:5" ht="15">
      <c r="A32" s="431"/>
      <c r="B32" s="432" t="s">
        <v>430</v>
      </c>
      <c r="C32" s="432"/>
      <c r="D32" s="434">
        <v>240210</v>
      </c>
      <c r="E32" s="434">
        <v>0</v>
      </c>
    </row>
    <row r="33" spans="1:5" ht="15">
      <c r="A33" s="435" t="s">
        <v>446</v>
      </c>
      <c r="B33" s="435"/>
      <c r="C33" s="435"/>
      <c r="D33" s="436">
        <v>240210</v>
      </c>
      <c r="E33" s="436">
        <v>0</v>
      </c>
    </row>
    <row r="34" spans="1:5" ht="15">
      <c r="A34" s="431" t="s">
        <v>68</v>
      </c>
      <c r="B34" s="431" t="s">
        <v>428</v>
      </c>
      <c r="C34" s="432" t="s">
        <v>447</v>
      </c>
      <c r="D34" s="434"/>
      <c r="E34" s="434">
        <v>41558676</v>
      </c>
    </row>
    <row r="35" spans="1:5" ht="15">
      <c r="A35" s="431"/>
      <c r="B35" s="431"/>
      <c r="C35" s="432" t="s">
        <v>429</v>
      </c>
      <c r="D35" s="434">
        <v>-185569000</v>
      </c>
      <c r="E35" s="434">
        <v>-188088000</v>
      </c>
    </row>
    <row r="36" spans="1:5" ht="15">
      <c r="A36" s="431"/>
      <c r="B36" s="431"/>
      <c r="C36" s="432" t="s">
        <v>448</v>
      </c>
      <c r="D36" s="434">
        <v>-1500000</v>
      </c>
      <c r="E36" s="434">
        <v>-1500000</v>
      </c>
    </row>
    <row r="37" spans="1:5" ht="15">
      <c r="A37" s="431"/>
      <c r="B37" s="432" t="s">
        <v>430</v>
      </c>
      <c r="C37" s="432"/>
      <c r="D37" s="434">
        <v>-187069000</v>
      </c>
      <c r="E37" s="434">
        <v>-148029324</v>
      </c>
    </row>
    <row r="38" spans="1:5" ht="15">
      <c r="A38" s="431"/>
      <c r="B38" s="433">
        <v>43589</v>
      </c>
      <c r="C38" s="431" t="s">
        <v>433</v>
      </c>
      <c r="D38" s="434">
        <v>170002649</v>
      </c>
      <c r="E38" s="434">
        <v>0</v>
      </c>
    </row>
    <row r="39" spans="1:5" ht="15">
      <c r="A39" s="431"/>
      <c r="B39" s="431"/>
      <c r="C39" s="431" t="s">
        <v>434</v>
      </c>
      <c r="D39" s="434">
        <v>44944240</v>
      </c>
      <c r="E39" s="434">
        <v>0</v>
      </c>
    </row>
    <row r="40" spans="1:5" ht="15">
      <c r="A40" s="431"/>
      <c r="B40" s="431" t="s">
        <v>435</v>
      </c>
      <c r="C40" s="431"/>
      <c r="D40" s="434">
        <v>214946889</v>
      </c>
      <c r="E40" s="434">
        <v>0</v>
      </c>
    </row>
    <row r="41" spans="1:5" ht="15">
      <c r="A41" s="435" t="s">
        <v>449</v>
      </c>
      <c r="B41" s="435"/>
      <c r="C41" s="435"/>
      <c r="D41" s="436">
        <v>27877889</v>
      </c>
      <c r="E41" s="436">
        <v>-148029324</v>
      </c>
    </row>
    <row r="42" spans="1:5" ht="15">
      <c r="A42" s="431" t="s">
        <v>69</v>
      </c>
      <c r="B42" s="431" t="s">
        <v>428</v>
      </c>
      <c r="C42" s="432" t="s">
        <v>450</v>
      </c>
      <c r="D42" s="434">
        <v>-4396909231</v>
      </c>
      <c r="E42" s="434">
        <v>-4585787455</v>
      </c>
    </row>
    <row r="43" spans="1:5" ht="15">
      <c r="A43" s="431"/>
      <c r="B43" s="431"/>
      <c r="C43" s="432" t="s">
        <v>451</v>
      </c>
      <c r="D43" s="434">
        <v>-3500000000</v>
      </c>
      <c r="E43" s="434">
        <v>-3500000000</v>
      </c>
    </row>
    <row r="44" spans="1:5" ht="15">
      <c r="A44" s="431"/>
      <c r="B44" s="432" t="s">
        <v>430</v>
      </c>
      <c r="C44" s="432"/>
      <c r="D44" s="434">
        <v>-7896909231</v>
      </c>
      <c r="E44" s="434">
        <v>-8085787455</v>
      </c>
    </row>
    <row r="45" spans="1:5" ht="15">
      <c r="A45" s="431"/>
      <c r="B45" s="433">
        <v>43589</v>
      </c>
      <c r="C45" s="431" t="s">
        <v>433</v>
      </c>
      <c r="D45" s="434">
        <v>5856563521</v>
      </c>
      <c r="E45" s="434">
        <v>0</v>
      </c>
    </row>
    <row r="46" spans="1:5" ht="15">
      <c r="A46" s="431"/>
      <c r="B46" s="431" t="s">
        <v>435</v>
      </c>
      <c r="C46" s="431"/>
      <c r="D46" s="434">
        <v>5856563521</v>
      </c>
      <c r="E46" s="434">
        <v>0</v>
      </c>
    </row>
    <row r="47" spans="1:5" ht="15">
      <c r="A47" s="435" t="s">
        <v>452</v>
      </c>
      <c r="B47" s="435"/>
      <c r="C47" s="435"/>
      <c r="D47" s="436">
        <v>-2040345710</v>
      </c>
      <c r="E47" s="436">
        <v>-8085787455</v>
      </c>
    </row>
    <row r="48" spans="1:5" ht="15">
      <c r="A48" s="431" t="s">
        <v>70</v>
      </c>
      <c r="B48" s="431" t="s">
        <v>428</v>
      </c>
      <c r="C48" s="432" t="s">
        <v>450</v>
      </c>
      <c r="D48" s="434"/>
      <c r="E48" s="434">
        <v>440576008</v>
      </c>
    </row>
    <row r="49" spans="1:5" ht="15">
      <c r="A49" s="431"/>
      <c r="B49" s="432" t="s">
        <v>430</v>
      </c>
      <c r="C49" s="432"/>
      <c r="D49" s="434"/>
      <c r="E49" s="434">
        <v>440576008</v>
      </c>
    </row>
    <row r="50" spans="1:5" ht="15">
      <c r="A50" s="431"/>
      <c r="B50" s="433">
        <v>43589</v>
      </c>
      <c r="C50" s="431" t="s">
        <v>433</v>
      </c>
      <c r="D50" s="434">
        <v>1253191497</v>
      </c>
      <c r="E50" s="434">
        <v>0</v>
      </c>
    </row>
    <row r="51" spans="1:5" ht="15">
      <c r="A51" s="431"/>
      <c r="B51" s="431" t="s">
        <v>435</v>
      </c>
      <c r="C51" s="431"/>
      <c r="D51" s="434">
        <v>1253191497</v>
      </c>
      <c r="E51" s="434">
        <v>0</v>
      </c>
    </row>
    <row r="52" spans="1:5" ht="15">
      <c r="A52" s="435" t="s">
        <v>453</v>
      </c>
      <c r="B52" s="435"/>
      <c r="C52" s="435"/>
      <c r="D52" s="436">
        <v>1253191497</v>
      </c>
      <c r="E52" s="436">
        <v>440576008</v>
      </c>
    </row>
    <row r="53" spans="1:5" ht="15">
      <c r="A53" s="431" t="s">
        <v>454</v>
      </c>
      <c r="B53" s="431" t="s">
        <v>428</v>
      </c>
      <c r="C53" s="432" t="s">
        <v>455</v>
      </c>
      <c r="D53" s="434">
        <v>6666440000</v>
      </c>
      <c r="E53" s="434">
        <v>5622770000</v>
      </c>
    </row>
    <row r="54" spans="1:5" ht="15">
      <c r="A54" s="431"/>
      <c r="B54" s="432" t="s">
        <v>430</v>
      </c>
      <c r="C54" s="432"/>
      <c r="D54" s="434">
        <v>6666440000</v>
      </c>
      <c r="E54" s="434">
        <v>5622770000</v>
      </c>
    </row>
    <row r="55" spans="1:5" ht="15">
      <c r="A55" s="431"/>
      <c r="B55" s="433">
        <v>43589</v>
      </c>
      <c r="C55" s="431" t="s">
        <v>433</v>
      </c>
      <c r="D55" s="434">
        <v>9555150000</v>
      </c>
      <c r="E55" s="434">
        <v>0</v>
      </c>
    </row>
    <row r="56" spans="1:5" ht="15">
      <c r="A56" s="431"/>
      <c r="B56" s="431" t="s">
        <v>435</v>
      </c>
      <c r="C56" s="431"/>
      <c r="D56" s="434">
        <v>9555150000</v>
      </c>
      <c r="E56" s="434">
        <v>0</v>
      </c>
    </row>
    <row r="57" spans="1:5" ht="15">
      <c r="A57" s="435" t="s">
        <v>456</v>
      </c>
      <c r="B57" s="435"/>
      <c r="C57" s="435"/>
      <c r="D57" s="436">
        <v>16221590000</v>
      </c>
      <c r="E57" s="436">
        <v>5622770000</v>
      </c>
    </row>
    <row r="58" spans="1:5" ht="15">
      <c r="A58" s="431" t="s">
        <v>457</v>
      </c>
      <c r="B58" s="433">
        <v>43589</v>
      </c>
      <c r="C58" s="431" t="s">
        <v>433</v>
      </c>
      <c r="D58" s="434">
        <v>20864177250</v>
      </c>
      <c r="E58" s="434">
        <v>0</v>
      </c>
    </row>
    <row r="59" spans="1:5" ht="15">
      <c r="A59" s="431"/>
      <c r="B59" s="431" t="s">
        <v>435</v>
      </c>
      <c r="C59" s="431"/>
      <c r="D59" s="434">
        <v>20864177250</v>
      </c>
      <c r="E59" s="434">
        <v>0</v>
      </c>
    </row>
    <row r="60" spans="1:5" ht="15">
      <c r="A60" s="435" t="s">
        <v>458</v>
      </c>
      <c r="B60" s="435"/>
      <c r="C60" s="435"/>
      <c r="D60" s="436">
        <v>20864177250</v>
      </c>
      <c r="E60" s="436">
        <v>0</v>
      </c>
    </row>
    <row r="61" spans="1:5" ht="15">
      <c r="A61" s="431" t="s">
        <v>71</v>
      </c>
      <c r="B61" s="431" t="s">
        <v>428</v>
      </c>
      <c r="C61" s="431" t="s">
        <v>459</v>
      </c>
      <c r="D61" s="434">
        <v>-200000000</v>
      </c>
      <c r="E61" s="434">
        <v>0</v>
      </c>
    </row>
    <row r="62" spans="1:5" ht="15">
      <c r="A62" s="431"/>
      <c r="B62" s="432" t="s">
        <v>430</v>
      </c>
      <c r="C62" s="432"/>
      <c r="D62" s="434">
        <v>-200000000</v>
      </c>
      <c r="E62" s="434">
        <v>0</v>
      </c>
    </row>
    <row r="63" spans="1:5" ht="15">
      <c r="A63" s="431"/>
      <c r="B63" s="433">
        <v>43589</v>
      </c>
      <c r="C63" s="431" t="s">
        <v>433</v>
      </c>
      <c r="D63" s="434">
        <v>12014718572</v>
      </c>
      <c r="E63" s="434">
        <v>0</v>
      </c>
    </row>
    <row r="64" spans="1:5" ht="15">
      <c r="A64" s="431"/>
      <c r="B64" s="431" t="s">
        <v>435</v>
      </c>
      <c r="C64" s="431"/>
      <c r="D64" s="434">
        <v>12014718572</v>
      </c>
      <c r="E64" s="434">
        <v>0</v>
      </c>
    </row>
    <row r="65" spans="1:5" ht="15">
      <c r="A65" s="435" t="s">
        <v>460</v>
      </c>
      <c r="B65" s="435"/>
      <c r="C65" s="435"/>
      <c r="D65" s="436">
        <v>11814718572</v>
      </c>
      <c r="E65" s="436">
        <v>0</v>
      </c>
    </row>
    <row r="66" spans="1:5" ht="15">
      <c r="A66" s="431" t="s">
        <v>461</v>
      </c>
      <c r="B66" s="431" t="s">
        <v>428</v>
      </c>
      <c r="C66" s="431" t="s">
        <v>462</v>
      </c>
      <c r="D66" s="434">
        <v>-30000000</v>
      </c>
      <c r="E66" s="434">
        <v>-30000000</v>
      </c>
    </row>
    <row r="67" spans="1:5" ht="15">
      <c r="A67" s="431"/>
      <c r="B67" s="432" t="s">
        <v>430</v>
      </c>
      <c r="C67" s="432"/>
      <c r="D67" s="434">
        <v>-30000000</v>
      </c>
      <c r="E67" s="434">
        <v>-30000000</v>
      </c>
    </row>
    <row r="68" spans="1:5" ht="30">
      <c r="A68" s="431"/>
      <c r="B68" s="433">
        <v>43587</v>
      </c>
      <c r="C68" s="432" t="s">
        <v>463</v>
      </c>
      <c r="D68" s="434">
        <v>0</v>
      </c>
      <c r="E68" s="434">
        <v>0</v>
      </c>
    </row>
    <row r="69" spans="1:5" ht="15">
      <c r="A69" s="431"/>
      <c r="B69" s="432" t="s">
        <v>464</v>
      </c>
      <c r="C69" s="432"/>
      <c r="D69" s="434">
        <v>0</v>
      </c>
      <c r="E69" s="434">
        <v>0</v>
      </c>
    </row>
    <row r="70" spans="1:5" ht="15">
      <c r="A70" s="431"/>
      <c r="B70" s="433">
        <v>43589</v>
      </c>
      <c r="C70" s="431" t="s">
        <v>433</v>
      </c>
      <c r="D70" s="434">
        <v>12000510807</v>
      </c>
      <c r="E70" s="434">
        <v>0</v>
      </c>
    </row>
    <row r="71" spans="1:5" ht="15">
      <c r="A71" s="431"/>
      <c r="B71" s="431" t="s">
        <v>435</v>
      </c>
      <c r="C71" s="431"/>
      <c r="D71" s="434">
        <v>12000510807</v>
      </c>
      <c r="E71" s="434">
        <v>0</v>
      </c>
    </row>
    <row r="72" spans="1:5" ht="15">
      <c r="A72" s="435" t="s">
        <v>465</v>
      </c>
      <c r="B72" s="435"/>
      <c r="C72" s="435"/>
      <c r="D72" s="436">
        <v>11970510807</v>
      </c>
      <c r="E72" s="436">
        <v>-30000000</v>
      </c>
    </row>
    <row r="73" spans="1:5" ht="15">
      <c r="A73" s="431" t="s">
        <v>466</v>
      </c>
      <c r="B73" s="431" t="s">
        <v>428</v>
      </c>
      <c r="C73" s="432" t="s">
        <v>429</v>
      </c>
      <c r="D73" s="434">
        <v>-81467000</v>
      </c>
      <c r="E73" s="434">
        <v>135740000</v>
      </c>
    </row>
    <row r="74" spans="1:5" ht="15">
      <c r="A74" s="431"/>
      <c r="B74" s="431"/>
      <c r="C74" s="432" t="s">
        <v>448</v>
      </c>
      <c r="D74" s="434">
        <v>-8490000</v>
      </c>
      <c r="E74" s="434">
        <v>-9740000</v>
      </c>
    </row>
    <row r="75" spans="1:5" ht="15">
      <c r="A75" s="431"/>
      <c r="B75" s="432" t="s">
        <v>430</v>
      </c>
      <c r="C75" s="432"/>
      <c r="D75" s="434">
        <v>-89957000</v>
      </c>
      <c r="E75" s="434">
        <v>126000000</v>
      </c>
    </row>
    <row r="76" spans="1:5" ht="15">
      <c r="A76" s="431"/>
      <c r="B76" s="433">
        <v>43587</v>
      </c>
      <c r="C76" s="432" t="s">
        <v>467</v>
      </c>
      <c r="D76" s="434">
        <v>8000000000</v>
      </c>
      <c r="E76" s="434">
        <v>0</v>
      </c>
    </row>
    <row r="77" spans="1:5" ht="15">
      <c r="A77" s="431"/>
      <c r="B77" s="432" t="s">
        <v>464</v>
      </c>
      <c r="C77" s="432"/>
      <c r="D77" s="434">
        <v>8000000000</v>
      </c>
      <c r="E77" s="434">
        <v>0</v>
      </c>
    </row>
    <row r="78" spans="1:5" ht="15">
      <c r="A78" s="435" t="s">
        <v>468</v>
      </c>
      <c r="B78" s="435"/>
      <c r="C78" s="435"/>
      <c r="D78" s="436">
        <v>7910043000</v>
      </c>
      <c r="E78" s="436">
        <v>126000000</v>
      </c>
    </row>
    <row r="79" spans="1:5" ht="15">
      <c r="A79" s="431" t="s">
        <v>469</v>
      </c>
      <c r="B79" s="431" t="s">
        <v>428</v>
      </c>
      <c r="C79" s="431" t="s">
        <v>470</v>
      </c>
      <c r="D79" s="434">
        <v>-2000000000</v>
      </c>
      <c r="E79" s="434">
        <v>-3000000000</v>
      </c>
    </row>
    <row r="80" spans="1:5" ht="15">
      <c r="A80" s="431"/>
      <c r="B80" s="432" t="s">
        <v>430</v>
      </c>
      <c r="C80" s="432"/>
      <c r="D80" s="434">
        <v>-2000000000</v>
      </c>
      <c r="E80" s="434">
        <v>-3000000000</v>
      </c>
    </row>
    <row r="81" spans="1:5" ht="15">
      <c r="A81" s="431"/>
      <c r="B81" s="433">
        <v>43589</v>
      </c>
      <c r="C81" s="431" t="s">
        <v>433</v>
      </c>
      <c r="D81" s="434">
        <v>30528877061</v>
      </c>
      <c r="E81" s="434">
        <v>0</v>
      </c>
    </row>
    <row r="82" spans="1:5" ht="15">
      <c r="A82" s="431"/>
      <c r="B82" s="431"/>
      <c r="C82" s="431" t="s">
        <v>471</v>
      </c>
      <c r="D82" s="434">
        <v>1400000000</v>
      </c>
      <c r="E82" s="434">
        <v>0</v>
      </c>
    </row>
    <row r="83" spans="1:5" ht="15">
      <c r="A83" s="431"/>
      <c r="B83" s="431" t="s">
        <v>435</v>
      </c>
      <c r="C83" s="431"/>
      <c r="D83" s="434">
        <v>31928877061</v>
      </c>
      <c r="E83" s="434">
        <v>0</v>
      </c>
    </row>
    <row r="84" spans="1:5" ht="15">
      <c r="A84" s="435" t="s">
        <v>472</v>
      </c>
      <c r="B84" s="435"/>
      <c r="C84" s="435"/>
      <c r="D84" s="436">
        <v>29928877061</v>
      </c>
      <c r="E84" s="436">
        <v>-3000000000</v>
      </c>
    </row>
    <row r="85" spans="1:5" ht="15">
      <c r="A85" s="431" t="s">
        <v>473</v>
      </c>
      <c r="B85" s="431" t="s">
        <v>428</v>
      </c>
      <c r="C85" s="432" t="s">
        <v>429</v>
      </c>
      <c r="D85" s="434">
        <v>1446600</v>
      </c>
      <c r="E85" s="434">
        <v>1446600</v>
      </c>
    </row>
    <row r="86" spans="1:5" ht="15">
      <c r="A86" s="431"/>
      <c r="B86" s="432" t="s">
        <v>430</v>
      </c>
      <c r="C86" s="432"/>
      <c r="D86" s="434">
        <v>1446600</v>
      </c>
      <c r="E86" s="434">
        <v>1446600</v>
      </c>
    </row>
    <row r="87" spans="1:5" ht="15">
      <c r="A87" s="431"/>
      <c r="B87" s="433">
        <v>43589</v>
      </c>
      <c r="C87" s="431" t="s">
        <v>433</v>
      </c>
      <c r="D87" s="434">
        <v>12126207286</v>
      </c>
      <c r="E87" s="434">
        <v>0</v>
      </c>
    </row>
    <row r="88" spans="1:5" ht="15">
      <c r="A88" s="431"/>
      <c r="B88" s="431"/>
      <c r="C88" s="431" t="s">
        <v>434</v>
      </c>
      <c r="D88" s="434">
        <v>62118970</v>
      </c>
      <c r="E88" s="434">
        <v>0</v>
      </c>
    </row>
    <row r="89" spans="1:5" ht="15">
      <c r="A89" s="431"/>
      <c r="B89" s="431" t="s">
        <v>435</v>
      </c>
      <c r="C89" s="431"/>
      <c r="D89" s="434">
        <v>12188326256</v>
      </c>
      <c r="E89" s="434">
        <v>0</v>
      </c>
    </row>
    <row r="90" spans="1:5" ht="15">
      <c r="A90" s="435" t="s">
        <v>474</v>
      </c>
      <c r="B90" s="435"/>
      <c r="C90" s="435"/>
      <c r="D90" s="436">
        <v>12189772856</v>
      </c>
      <c r="E90" s="436">
        <v>1446600</v>
      </c>
    </row>
    <row r="91" spans="1:5" ht="15">
      <c r="A91" s="431" t="s">
        <v>475</v>
      </c>
      <c r="B91" s="433">
        <v>43589</v>
      </c>
      <c r="C91" s="431" t="s">
        <v>433</v>
      </c>
      <c r="D91" s="434">
        <v>35337737</v>
      </c>
      <c r="E91" s="434">
        <v>0</v>
      </c>
    </row>
    <row r="92" spans="1:5" ht="15">
      <c r="A92" s="431"/>
      <c r="B92" s="431"/>
      <c r="C92" s="431" t="s">
        <v>434</v>
      </c>
      <c r="D92" s="434">
        <v>44000000</v>
      </c>
      <c r="E92" s="434">
        <v>0</v>
      </c>
    </row>
    <row r="93" spans="1:5" ht="15">
      <c r="A93" s="431"/>
      <c r="B93" s="431" t="s">
        <v>435</v>
      </c>
      <c r="C93" s="431"/>
      <c r="D93" s="434">
        <v>79337737</v>
      </c>
      <c r="E93" s="434">
        <v>0</v>
      </c>
    </row>
    <row r="94" spans="1:5" ht="15">
      <c r="A94" s="435" t="s">
        <v>476</v>
      </c>
      <c r="B94" s="435"/>
      <c r="C94" s="435"/>
      <c r="D94" s="436">
        <v>79337737</v>
      </c>
      <c r="E94" s="436">
        <v>0</v>
      </c>
    </row>
    <row r="95" spans="1:5" ht="15">
      <c r="A95" s="431" t="s">
        <v>477</v>
      </c>
      <c r="B95" s="433">
        <v>43589</v>
      </c>
      <c r="C95" s="431" t="s">
        <v>433</v>
      </c>
      <c r="D95" s="434">
        <v>1900000000</v>
      </c>
      <c r="E95" s="434">
        <v>0</v>
      </c>
    </row>
    <row r="96" spans="1:5" ht="15">
      <c r="A96" s="431"/>
      <c r="B96" s="431"/>
      <c r="C96" s="431" t="s">
        <v>434</v>
      </c>
      <c r="D96" s="434">
        <v>0</v>
      </c>
      <c r="E96" s="434">
        <v>0</v>
      </c>
    </row>
    <row r="97" spans="1:5" ht="15">
      <c r="A97" s="431"/>
      <c r="B97" s="431" t="s">
        <v>435</v>
      </c>
      <c r="C97" s="431"/>
      <c r="D97" s="434">
        <v>1900000000</v>
      </c>
      <c r="E97" s="434">
        <v>0</v>
      </c>
    </row>
    <row r="98" spans="1:5" ht="15">
      <c r="A98" s="435" t="s">
        <v>478</v>
      </c>
      <c r="B98" s="435"/>
      <c r="C98" s="435"/>
      <c r="D98" s="436">
        <v>1900000000</v>
      </c>
      <c r="E98" s="436">
        <v>0</v>
      </c>
    </row>
    <row r="99" spans="1:5" ht="15">
      <c r="A99" s="431" t="s">
        <v>479</v>
      </c>
      <c r="B99" s="431" t="s">
        <v>428</v>
      </c>
      <c r="C99" s="432" t="s">
        <v>447</v>
      </c>
      <c r="D99" s="434">
        <v>0</v>
      </c>
      <c r="E99" s="434">
        <v>61492096</v>
      </c>
    </row>
    <row r="100" spans="1:5" ht="15">
      <c r="A100" s="431"/>
      <c r="B100" s="431"/>
      <c r="C100" s="432" t="s">
        <v>429</v>
      </c>
      <c r="D100" s="434">
        <v>-48000000</v>
      </c>
      <c r="E100" s="434">
        <v>-48000000</v>
      </c>
    </row>
    <row r="101" spans="1:5" ht="15">
      <c r="A101" s="431"/>
      <c r="B101" s="432" t="s">
        <v>430</v>
      </c>
      <c r="C101" s="432"/>
      <c r="D101" s="434">
        <v>-48000000</v>
      </c>
      <c r="E101" s="434">
        <v>13492096</v>
      </c>
    </row>
    <row r="102" spans="1:5" ht="15">
      <c r="A102" s="431"/>
      <c r="B102" s="433">
        <v>43587</v>
      </c>
      <c r="C102" s="432" t="s">
        <v>480</v>
      </c>
      <c r="D102" s="434">
        <v>100000000</v>
      </c>
      <c r="E102" s="434">
        <v>300000000</v>
      </c>
    </row>
    <row r="103" spans="1:5" ht="15">
      <c r="A103" s="431"/>
      <c r="B103" s="432" t="s">
        <v>464</v>
      </c>
      <c r="C103" s="432"/>
      <c r="D103" s="434">
        <v>100000000</v>
      </c>
      <c r="E103" s="434">
        <v>300000000</v>
      </c>
    </row>
    <row r="104" spans="1:5" ht="15">
      <c r="A104" s="431"/>
      <c r="B104" s="433">
        <v>43589</v>
      </c>
      <c r="C104" s="431" t="s">
        <v>433</v>
      </c>
      <c r="D104" s="434">
        <v>71726159</v>
      </c>
      <c r="E104" s="434">
        <v>0</v>
      </c>
    </row>
    <row r="105" spans="1:5" ht="15">
      <c r="A105" s="431"/>
      <c r="B105" s="431"/>
      <c r="C105" s="431" t="s">
        <v>434</v>
      </c>
      <c r="D105" s="434">
        <v>35605891</v>
      </c>
      <c r="E105" s="434">
        <v>0</v>
      </c>
    </row>
    <row r="106" spans="1:5" ht="15">
      <c r="A106" s="431"/>
      <c r="B106" s="431" t="s">
        <v>435</v>
      </c>
      <c r="C106" s="431"/>
      <c r="D106" s="434">
        <v>107332050</v>
      </c>
      <c r="E106" s="434">
        <v>0</v>
      </c>
    </row>
    <row r="107" spans="1:5" ht="15">
      <c r="A107" s="435" t="s">
        <v>481</v>
      </c>
      <c r="B107" s="435"/>
      <c r="C107" s="435"/>
      <c r="D107" s="436">
        <v>159332050</v>
      </c>
      <c r="E107" s="436">
        <v>313492096</v>
      </c>
    </row>
    <row r="108" spans="1:5" ht="15">
      <c r="A108" s="431" t="s">
        <v>482</v>
      </c>
      <c r="B108" s="431" t="s">
        <v>428</v>
      </c>
      <c r="C108" s="432" t="s">
        <v>483</v>
      </c>
      <c r="D108" s="434">
        <v>6000000</v>
      </c>
      <c r="E108" s="434">
        <v>6000000</v>
      </c>
    </row>
    <row r="109" spans="1:5" ht="15">
      <c r="A109" s="431"/>
      <c r="B109" s="432" t="s">
        <v>430</v>
      </c>
      <c r="C109" s="432"/>
      <c r="D109" s="434">
        <v>6000000</v>
      </c>
      <c r="E109" s="434">
        <v>6000000</v>
      </c>
    </row>
    <row r="110" spans="1:5" ht="15">
      <c r="A110" s="431"/>
      <c r="B110" s="433">
        <v>43589</v>
      </c>
      <c r="C110" s="431" t="s">
        <v>433</v>
      </c>
      <c r="D110" s="434">
        <v>5602500</v>
      </c>
      <c r="E110" s="434">
        <v>0</v>
      </c>
    </row>
    <row r="111" spans="1:5" ht="15">
      <c r="A111" s="431"/>
      <c r="B111" s="431" t="s">
        <v>435</v>
      </c>
      <c r="C111" s="431"/>
      <c r="D111" s="434">
        <v>5602500</v>
      </c>
      <c r="E111" s="434">
        <v>0</v>
      </c>
    </row>
    <row r="112" spans="1:5" ht="15">
      <c r="A112" s="435" t="s">
        <v>484</v>
      </c>
      <c r="B112" s="435"/>
      <c r="C112" s="435"/>
      <c r="D112" s="436">
        <v>11602500</v>
      </c>
      <c r="E112" s="436">
        <v>6000000</v>
      </c>
    </row>
    <row r="113" spans="1:5" ht="15">
      <c r="A113" s="431" t="s">
        <v>485</v>
      </c>
      <c r="B113" s="431" t="s">
        <v>428</v>
      </c>
      <c r="C113" s="432" t="s">
        <v>429</v>
      </c>
      <c r="D113" s="434">
        <v>-1300000</v>
      </c>
      <c r="E113" s="434">
        <v>-1300000</v>
      </c>
    </row>
    <row r="114" spans="1:5" ht="15">
      <c r="A114" s="431"/>
      <c r="B114" s="431"/>
      <c r="C114" s="432" t="s">
        <v>486</v>
      </c>
      <c r="D114" s="434">
        <v>-60000</v>
      </c>
      <c r="E114" s="434">
        <v>-60000</v>
      </c>
    </row>
    <row r="115" spans="1:5" ht="15">
      <c r="A115" s="431"/>
      <c r="B115" s="432" t="s">
        <v>430</v>
      </c>
      <c r="C115" s="432"/>
      <c r="D115" s="434">
        <v>-1360000</v>
      </c>
      <c r="E115" s="434">
        <v>-1360000</v>
      </c>
    </row>
    <row r="116" spans="1:5" ht="15">
      <c r="A116" s="431"/>
      <c r="B116" s="433">
        <v>43589</v>
      </c>
      <c r="C116" s="431" t="s">
        <v>433</v>
      </c>
      <c r="D116" s="434">
        <v>17685742</v>
      </c>
      <c r="E116" s="434">
        <v>0</v>
      </c>
    </row>
    <row r="117" spans="1:5" ht="15">
      <c r="A117" s="431"/>
      <c r="B117" s="431" t="s">
        <v>435</v>
      </c>
      <c r="C117" s="431"/>
      <c r="D117" s="434">
        <v>17685742</v>
      </c>
      <c r="E117" s="434">
        <v>0</v>
      </c>
    </row>
    <row r="118" spans="1:5" ht="15">
      <c r="A118" s="435" t="s">
        <v>487</v>
      </c>
      <c r="B118" s="435"/>
      <c r="C118" s="435"/>
      <c r="D118" s="436">
        <v>16325742</v>
      </c>
      <c r="E118" s="436">
        <v>-1360000</v>
      </c>
    </row>
    <row r="119" spans="1:5" ht="15">
      <c r="A119" s="431" t="s">
        <v>488</v>
      </c>
      <c r="B119" s="433">
        <v>43587</v>
      </c>
      <c r="C119" s="431" t="s">
        <v>489</v>
      </c>
      <c r="D119" s="434">
        <v>600000000</v>
      </c>
      <c r="E119" s="434">
        <v>600000000</v>
      </c>
    </row>
    <row r="120" spans="1:5" ht="15">
      <c r="A120" s="431"/>
      <c r="B120" s="432" t="s">
        <v>464</v>
      </c>
      <c r="C120" s="432"/>
      <c r="D120" s="434">
        <v>600000000</v>
      </c>
      <c r="E120" s="434">
        <v>600000000</v>
      </c>
    </row>
    <row r="121" spans="1:5" ht="15">
      <c r="A121" s="431"/>
      <c r="B121" s="433">
        <v>43589</v>
      </c>
      <c r="C121" s="431" t="s">
        <v>433</v>
      </c>
      <c r="D121" s="434">
        <v>9939681</v>
      </c>
      <c r="E121" s="434">
        <v>0</v>
      </c>
    </row>
    <row r="122" spans="1:5" ht="15">
      <c r="A122" s="431"/>
      <c r="B122" s="431" t="s">
        <v>435</v>
      </c>
      <c r="C122" s="431"/>
      <c r="D122" s="434">
        <v>9939681</v>
      </c>
      <c r="E122" s="434">
        <v>0</v>
      </c>
    </row>
    <row r="123" spans="1:5" ht="15">
      <c r="A123" s="435" t="s">
        <v>490</v>
      </c>
      <c r="B123" s="435"/>
      <c r="C123" s="435"/>
      <c r="D123" s="436">
        <v>609939681</v>
      </c>
      <c r="E123" s="436">
        <v>600000000</v>
      </c>
    </row>
    <row r="124" spans="1:5" ht="15">
      <c r="A124" s="431" t="s">
        <v>491</v>
      </c>
      <c r="B124" s="433">
        <v>43589</v>
      </c>
      <c r="C124" s="431" t="s">
        <v>433</v>
      </c>
      <c r="D124" s="434">
        <v>0</v>
      </c>
      <c r="E124" s="434">
        <v>0</v>
      </c>
    </row>
    <row r="125" spans="1:5" ht="15">
      <c r="A125" s="431"/>
      <c r="B125" s="431" t="s">
        <v>435</v>
      </c>
      <c r="C125" s="431"/>
      <c r="D125" s="434">
        <v>0</v>
      </c>
      <c r="E125" s="434">
        <v>0</v>
      </c>
    </row>
    <row r="126" spans="1:5" ht="15">
      <c r="A126" s="435" t="s">
        <v>492</v>
      </c>
      <c r="B126" s="435"/>
      <c r="C126" s="435"/>
      <c r="D126" s="436">
        <v>0</v>
      </c>
      <c r="E126" s="436">
        <v>0</v>
      </c>
    </row>
    <row r="127" spans="1:5" ht="15">
      <c r="A127" s="431" t="s">
        <v>493</v>
      </c>
      <c r="B127" s="431" t="s">
        <v>428</v>
      </c>
      <c r="C127" s="432" t="s">
        <v>448</v>
      </c>
      <c r="D127" s="434">
        <v>-37284000</v>
      </c>
      <c r="E127" s="434">
        <v>0</v>
      </c>
    </row>
    <row r="128" spans="1:5" ht="15">
      <c r="A128" s="431"/>
      <c r="B128" s="432" t="s">
        <v>430</v>
      </c>
      <c r="C128" s="432"/>
      <c r="D128" s="434">
        <v>-37284000</v>
      </c>
      <c r="E128" s="434">
        <v>0</v>
      </c>
    </row>
    <row r="129" spans="1:5" ht="15">
      <c r="A129" s="435" t="s">
        <v>494</v>
      </c>
      <c r="B129" s="435"/>
      <c r="C129" s="435"/>
      <c r="D129" s="436">
        <v>-37284000</v>
      </c>
      <c r="E129" s="436">
        <v>0</v>
      </c>
    </row>
    <row r="130" spans="1:5" ht="15">
      <c r="A130" s="431" t="s">
        <v>495</v>
      </c>
      <c r="B130" s="433">
        <v>43589</v>
      </c>
      <c r="C130" s="431" t="s">
        <v>433</v>
      </c>
      <c r="D130" s="434">
        <v>3990827</v>
      </c>
      <c r="E130" s="434">
        <v>0</v>
      </c>
    </row>
    <row r="131" spans="1:5" ht="15">
      <c r="A131" s="431"/>
      <c r="B131" s="431" t="s">
        <v>435</v>
      </c>
      <c r="C131" s="431"/>
      <c r="D131" s="434">
        <v>3990827</v>
      </c>
      <c r="E131" s="434">
        <v>0</v>
      </c>
    </row>
    <row r="132" spans="1:5" ht="15">
      <c r="A132" s="435" t="s">
        <v>496</v>
      </c>
      <c r="B132" s="435"/>
      <c r="C132" s="435"/>
      <c r="D132" s="436">
        <v>3990827</v>
      </c>
      <c r="E132" s="436">
        <v>0</v>
      </c>
    </row>
    <row r="133" spans="1:5" ht="15">
      <c r="A133" s="431" t="s">
        <v>497</v>
      </c>
      <c r="B133" s="433">
        <v>43589</v>
      </c>
      <c r="C133" s="431" t="s">
        <v>433</v>
      </c>
      <c r="D133" s="434">
        <v>1192825</v>
      </c>
      <c r="E133" s="434">
        <v>0</v>
      </c>
    </row>
    <row r="134" spans="1:5" ht="15">
      <c r="A134" s="431"/>
      <c r="B134" s="431" t="s">
        <v>435</v>
      </c>
      <c r="C134" s="431"/>
      <c r="D134" s="434">
        <v>1192825</v>
      </c>
      <c r="E134" s="434">
        <v>0</v>
      </c>
    </row>
    <row r="135" spans="1:5" ht="15">
      <c r="A135" s="435" t="s">
        <v>498</v>
      </c>
      <c r="B135" s="435"/>
      <c r="C135" s="435"/>
      <c r="D135" s="436">
        <v>1192825</v>
      </c>
      <c r="E135" s="436">
        <v>0</v>
      </c>
    </row>
    <row r="136" spans="1:5" ht="15">
      <c r="A136" s="431" t="s">
        <v>499</v>
      </c>
      <c r="B136" s="433">
        <v>43587</v>
      </c>
      <c r="C136" s="432" t="s">
        <v>500</v>
      </c>
      <c r="D136" s="434">
        <v>0</v>
      </c>
      <c r="E136" s="434">
        <v>64961000</v>
      </c>
    </row>
    <row r="137" spans="1:5" ht="15">
      <c r="A137" s="431"/>
      <c r="B137" s="432" t="s">
        <v>464</v>
      </c>
      <c r="C137" s="432"/>
      <c r="D137" s="434">
        <v>0</v>
      </c>
      <c r="E137" s="434">
        <v>64961000</v>
      </c>
    </row>
    <row r="138" spans="1:5" ht="15">
      <c r="A138" s="435" t="s">
        <v>501</v>
      </c>
      <c r="B138" s="435"/>
      <c r="C138" s="435"/>
      <c r="D138" s="436">
        <v>0</v>
      </c>
      <c r="E138" s="436">
        <v>64961000</v>
      </c>
    </row>
    <row r="139" spans="1:5" ht="15">
      <c r="A139" s="431" t="s">
        <v>72</v>
      </c>
      <c r="B139" s="431" t="s">
        <v>428</v>
      </c>
      <c r="C139" s="432" t="s">
        <v>502</v>
      </c>
      <c r="D139" s="434">
        <v>0</v>
      </c>
      <c r="E139" s="434">
        <v>-8487935</v>
      </c>
    </row>
    <row r="140" spans="1:5" ht="15">
      <c r="A140" s="431"/>
      <c r="B140" s="432" t="s">
        <v>430</v>
      </c>
      <c r="C140" s="432"/>
      <c r="D140" s="434">
        <v>0</v>
      </c>
      <c r="E140" s="434">
        <v>-8487935</v>
      </c>
    </row>
    <row r="141" spans="1:5" ht="15">
      <c r="A141" s="435" t="s">
        <v>503</v>
      </c>
      <c r="B141" s="435"/>
      <c r="C141" s="435"/>
      <c r="D141" s="436">
        <v>0</v>
      </c>
      <c r="E141" s="436">
        <v>-8487935</v>
      </c>
    </row>
    <row r="142" spans="1:5" ht="15">
      <c r="A142" s="431" t="s">
        <v>504</v>
      </c>
      <c r="B142" s="433">
        <v>43589</v>
      </c>
      <c r="C142" s="431" t="s">
        <v>433</v>
      </c>
      <c r="D142" s="434">
        <v>33108790</v>
      </c>
      <c r="E142" s="434">
        <v>0</v>
      </c>
    </row>
    <row r="143" spans="1:5" ht="15">
      <c r="A143" s="431"/>
      <c r="B143" s="431"/>
      <c r="C143" s="431" t="s">
        <v>434</v>
      </c>
      <c r="D143" s="434">
        <v>342051611</v>
      </c>
      <c r="E143" s="434">
        <v>0</v>
      </c>
    </row>
    <row r="144" spans="1:5" ht="15">
      <c r="A144" s="431"/>
      <c r="B144" s="431" t="s">
        <v>435</v>
      </c>
      <c r="C144" s="431"/>
      <c r="D144" s="434">
        <v>375160401</v>
      </c>
      <c r="E144" s="434">
        <v>0</v>
      </c>
    </row>
    <row r="145" spans="1:5" ht="15">
      <c r="A145" s="435" t="s">
        <v>505</v>
      </c>
      <c r="B145" s="435"/>
      <c r="C145" s="435"/>
      <c r="D145" s="436">
        <v>375160401</v>
      </c>
      <c r="E145" s="436">
        <v>0</v>
      </c>
    </row>
    <row r="146" spans="1:5" ht="15">
      <c r="A146" s="431" t="s">
        <v>506</v>
      </c>
      <c r="B146" s="431" t="s">
        <v>428</v>
      </c>
      <c r="C146" s="432" t="s">
        <v>429</v>
      </c>
      <c r="D146" s="434">
        <v>400000</v>
      </c>
      <c r="E146" s="434">
        <v>400000</v>
      </c>
    </row>
    <row r="147" spans="1:5" ht="15">
      <c r="A147" s="431"/>
      <c r="B147" s="432" t="s">
        <v>430</v>
      </c>
      <c r="C147" s="432"/>
      <c r="D147" s="434">
        <v>400000</v>
      </c>
      <c r="E147" s="434">
        <v>400000</v>
      </c>
    </row>
    <row r="148" spans="1:5" ht="15">
      <c r="A148" s="435" t="s">
        <v>507</v>
      </c>
      <c r="B148" s="435"/>
      <c r="C148" s="435"/>
      <c r="D148" s="436">
        <v>400000</v>
      </c>
      <c r="E148" s="436">
        <v>400000</v>
      </c>
    </row>
    <row r="149" spans="1:5" ht="15">
      <c r="A149" s="431" t="s">
        <v>508</v>
      </c>
      <c r="B149" s="431" t="s">
        <v>428</v>
      </c>
      <c r="C149" s="432" t="s">
        <v>429</v>
      </c>
      <c r="D149" s="434">
        <v>118140</v>
      </c>
      <c r="E149" s="434"/>
    </row>
    <row r="150" spans="1:5" ht="15">
      <c r="A150" s="431"/>
      <c r="B150" s="432" t="s">
        <v>430</v>
      </c>
      <c r="C150" s="432"/>
      <c r="D150" s="434">
        <v>118140</v>
      </c>
      <c r="E150" s="434"/>
    </row>
    <row r="151" spans="1:5" ht="15">
      <c r="A151" s="435" t="s">
        <v>509</v>
      </c>
      <c r="B151" s="435"/>
      <c r="C151" s="435"/>
      <c r="D151" s="436">
        <v>118140</v>
      </c>
      <c r="E151" s="436"/>
    </row>
    <row r="152" spans="1:5" ht="15">
      <c r="A152" s="431" t="s">
        <v>510</v>
      </c>
      <c r="B152" s="431" t="s">
        <v>428</v>
      </c>
      <c r="C152" s="432" t="s">
        <v>429</v>
      </c>
      <c r="D152" s="434">
        <v>235000000</v>
      </c>
      <c r="E152" s="434">
        <v>255000000</v>
      </c>
    </row>
    <row r="153" spans="1:5" ht="15">
      <c r="A153" s="431"/>
      <c r="B153" s="432" t="s">
        <v>430</v>
      </c>
      <c r="C153" s="432"/>
      <c r="D153" s="434">
        <v>235000000</v>
      </c>
      <c r="E153" s="434">
        <v>255000000</v>
      </c>
    </row>
    <row r="154" spans="1:5" ht="15">
      <c r="A154" s="435" t="s">
        <v>511</v>
      </c>
      <c r="B154" s="435"/>
      <c r="C154" s="435"/>
      <c r="D154" s="436">
        <v>235000000</v>
      </c>
      <c r="E154" s="436">
        <v>255000000</v>
      </c>
    </row>
  </sheetData>
  <mergeCells count="1">
    <mergeCell ref="B2:D2"/>
  </mergeCells>
  <pageMargins left="0.393700787401575" right="0.433070866141732" top="0.590551181102362" bottom="0.551181102362205" header="0.31496062992126" footer="0.31496062992126"/>
  <pageSetup fitToHeight="0" orientation="portrait" paperSize="9" scale="62" r:id="rId1"/>
  <headerFooter>
    <oddHeader>&amp;RTabulka č . 12
strana 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29"/>
  <sheetViews>
    <sheetView workbookViewId="0" topLeftCell="A1">
      <selection pane="topLeft" activeCell="J12" sqref="J12"/>
    </sheetView>
  </sheetViews>
  <sheetFormatPr defaultRowHeight="12.75"/>
  <cols>
    <col min="1" max="1" width="41.7142857142857" customWidth="1"/>
    <col min="2" max="2" width="62.5714285714286" customWidth="1"/>
    <col min="3" max="3" width="19.5714285714286" customWidth="1"/>
    <col min="4" max="4" width="22.5714285714286" customWidth="1"/>
    <col min="5" max="5" width="18.5714285714286" bestFit="1" customWidth="1"/>
  </cols>
  <sheetData>
    <row r="2" spans="1:5" ht="80.25" customHeight="1">
      <c r="A2" s="583" t="s">
        <v>321</v>
      </c>
      <c r="B2" s="583"/>
      <c r="C2" s="583"/>
      <c r="D2" s="583"/>
      <c r="E2" s="583"/>
    </row>
    <row r="3" spans="1:5" ht="18.75" customHeight="1">
      <c r="A3" s="465"/>
      <c r="B3" s="465"/>
      <c r="C3" s="465"/>
      <c r="D3" s="465"/>
      <c r="E3" s="466" t="s">
        <v>1</v>
      </c>
    </row>
    <row r="4" spans="1:5" ht="12.75">
      <c r="A4" s="584" t="s">
        <v>3</v>
      </c>
      <c r="B4" s="587" t="s">
        <v>145</v>
      </c>
      <c r="C4" s="587" t="s">
        <v>157</v>
      </c>
      <c r="D4" s="587" t="s">
        <v>158</v>
      </c>
      <c r="E4" s="590" t="s">
        <v>46</v>
      </c>
    </row>
    <row r="5" spans="1:5" ht="12.75">
      <c r="A5" s="585"/>
      <c r="B5" s="588"/>
      <c r="C5" s="588"/>
      <c r="D5" s="588"/>
      <c r="E5" s="591"/>
    </row>
    <row r="6" spans="1:5" ht="12.75">
      <c r="A6" s="585"/>
      <c r="B6" s="588"/>
      <c r="C6" s="588"/>
      <c r="D6" s="588"/>
      <c r="E6" s="591"/>
    </row>
    <row r="7" spans="1:5" ht="12.75">
      <c r="A7" s="586"/>
      <c r="B7" s="589"/>
      <c r="C7" s="589"/>
      <c r="D7" s="589"/>
      <c r="E7" s="592"/>
    </row>
    <row r="8" spans="1:5" ht="12.75">
      <c r="A8" s="575" t="s">
        <v>241</v>
      </c>
      <c r="B8" s="439" t="s">
        <v>242</v>
      </c>
      <c r="C8" s="440">
        <v>5362431</v>
      </c>
      <c r="D8" s="440">
        <v>22566901</v>
      </c>
      <c r="E8" s="521">
        <f>C8+D8</f>
        <v>27929332</v>
      </c>
    </row>
    <row r="9" spans="1:5" ht="12.75">
      <c r="A9" s="575"/>
      <c r="B9" s="439" t="s">
        <v>243</v>
      </c>
      <c r="C9" s="440">
        <v>10440913</v>
      </c>
      <c r="D9" s="440">
        <v>36573017</v>
      </c>
      <c r="E9" s="521">
        <f t="shared" si="0" ref="E9:E72">C9+D9</f>
        <v>47013930</v>
      </c>
    </row>
    <row r="10" spans="1:5" ht="12.75">
      <c r="A10" s="576"/>
      <c r="B10" s="439" t="s">
        <v>244</v>
      </c>
      <c r="C10" s="440">
        <v>999109</v>
      </c>
      <c r="D10" s="440">
        <v>5661621</v>
      </c>
      <c r="E10" s="521">
        <f t="shared" si="0"/>
        <v>6660730</v>
      </c>
    </row>
    <row r="11" spans="1:5" ht="12.75">
      <c r="A11" s="577" t="s">
        <v>245</v>
      </c>
      <c r="B11" s="578"/>
      <c r="C11" s="441">
        <v>16802453</v>
      </c>
      <c r="D11" s="441">
        <v>64801539</v>
      </c>
      <c r="E11" s="522">
        <f t="shared" si="0"/>
        <v>81603992</v>
      </c>
    </row>
    <row r="12" spans="1:5" ht="12.75">
      <c r="A12" s="579" t="s">
        <v>246</v>
      </c>
      <c r="B12" s="439" t="s">
        <v>247</v>
      </c>
      <c r="C12" s="440">
        <v>625000</v>
      </c>
      <c r="D12" s="440">
        <v>1875000</v>
      </c>
      <c r="E12" s="521">
        <f t="shared" si="0"/>
        <v>2500000</v>
      </c>
    </row>
    <row r="13" spans="1:5" ht="12.75">
      <c r="A13" s="576"/>
      <c r="B13" s="439" t="s">
        <v>248</v>
      </c>
      <c r="C13" s="440">
        <v>0</v>
      </c>
      <c r="D13" s="440">
        <v>26260000</v>
      </c>
      <c r="E13" s="521">
        <f t="shared" si="0"/>
        <v>26260000</v>
      </c>
    </row>
    <row r="14" spans="1:5" ht="12.75">
      <c r="A14" s="577" t="s">
        <v>245</v>
      </c>
      <c r="B14" s="578"/>
      <c r="C14" s="441">
        <v>625000</v>
      </c>
      <c r="D14" s="441">
        <v>28135000</v>
      </c>
      <c r="E14" s="522">
        <f t="shared" si="0"/>
        <v>28760000</v>
      </c>
    </row>
    <row r="15" spans="1:5" ht="12.75">
      <c r="A15" s="579" t="s">
        <v>249</v>
      </c>
      <c r="B15" s="439" t="s">
        <v>242</v>
      </c>
      <c r="C15" s="440">
        <v>12447981</v>
      </c>
      <c r="D15" s="440">
        <v>70538555</v>
      </c>
      <c r="E15" s="521">
        <f t="shared" si="0"/>
        <v>82986536</v>
      </c>
    </row>
    <row r="16" spans="1:5" ht="12.75">
      <c r="A16" s="575"/>
      <c r="B16" s="439" t="s">
        <v>243</v>
      </c>
      <c r="C16" s="440">
        <v>3901587</v>
      </c>
      <c r="D16" s="440">
        <v>11117007</v>
      </c>
      <c r="E16" s="521">
        <f t="shared" si="0"/>
        <v>15018594</v>
      </c>
    </row>
    <row r="17" spans="1:5" ht="12.75">
      <c r="A17" s="576"/>
      <c r="B17" s="439" t="s">
        <v>250</v>
      </c>
      <c r="C17" s="440">
        <v>197882722</v>
      </c>
      <c r="D17" s="440">
        <v>116699113</v>
      </c>
      <c r="E17" s="521">
        <f t="shared" si="0"/>
        <v>314581835</v>
      </c>
    </row>
    <row r="18" spans="1:5" ht="12.75">
      <c r="A18" s="577" t="s">
        <v>245</v>
      </c>
      <c r="B18" s="578"/>
      <c r="C18" s="441">
        <v>214232290</v>
      </c>
      <c r="D18" s="441">
        <v>198354675</v>
      </c>
      <c r="E18" s="522">
        <f t="shared" si="0"/>
        <v>412586965</v>
      </c>
    </row>
    <row r="19" spans="1:5" ht="12.75">
      <c r="A19" s="523" t="s">
        <v>251</v>
      </c>
      <c r="B19" s="442" t="s">
        <v>243</v>
      </c>
      <c r="C19" s="443">
        <v>42390</v>
      </c>
      <c r="D19" s="443">
        <v>240210</v>
      </c>
      <c r="E19" s="524">
        <f t="shared" si="0"/>
        <v>282600</v>
      </c>
    </row>
    <row r="20" spans="1:5" ht="12.75">
      <c r="A20" s="575" t="s">
        <v>252</v>
      </c>
      <c r="B20" s="439" t="s">
        <v>253</v>
      </c>
      <c r="C20" s="440">
        <v>1580000</v>
      </c>
      <c r="D20" s="444">
        <v>3160000</v>
      </c>
      <c r="E20" s="525">
        <f t="shared" si="0"/>
        <v>4740000</v>
      </c>
    </row>
    <row r="21" spans="1:5" ht="12.75">
      <c r="A21" s="575"/>
      <c r="B21" s="439" t="s">
        <v>243</v>
      </c>
      <c r="C21" s="440">
        <v>0</v>
      </c>
      <c r="D21" s="444">
        <v>0</v>
      </c>
      <c r="E21" s="525">
        <f t="shared" si="0"/>
        <v>0</v>
      </c>
    </row>
    <row r="22" spans="1:5" ht="12.75">
      <c r="A22" s="575"/>
      <c r="B22" s="439" t="s">
        <v>254</v>
      </c>
      <c r="C22" s="440">
        <v>20461641</v>
      </c>
      <c r="D22" s="444">
        <v>115949299</v>
      </c>
      <c r="E22" s="525">
        <f t="shared" si="0"/>
        <v>136410940</v>
      </c>
    </row>
    <row r="23" spans="1:5" ht="12.75">
      <c r="A23" s="575"/>
      <c r="B23" s="439" t="s">
        <v>255</v>
      </c>
      <c r="C23" s="440">
        <v>6493027</v>
      </c>
      <c r="D23" s="444">
        <v>36888374</v>
      </c>
      <c r="E23" s="525">
        <f t="shared" si="0"/>
        <v>43381401</v>
      </c>
    </row>
    <row r="24" spans="1:5" ht="12.75">
      <c r="A24" s="575"/>
      <c r="B24" s="439" t="s">
        <v>256</v>
      </c>
      <c r="C24" s="440">
        <v>1673688</v>
      </c>
      <c r="D24" s="444">
        <v>9534467</v>
      </c>
      <c r="E24" s="525">
        <f t="shared" si="0"/>
        <v>11208155</v>
      </c>
    </row>
    <row r="25" spans="1:5" ht="12.75">
      <c r="A25" s="575"/>
      <c r="B25" s="439" t="s">
        <v>247</v>
      </c>
      <c r="C25" s="440">
        <v>0</v>
      </c>
      <c r="D25" s="444">
        <v>1980894</v>
      </c>
      <c r="E25" s="525">
        <f t="shared" si="0"/>
        <v>1980894</v>
      </c>
    </row>
    <row r="26" spans="1:5" ht="12.75">
      <c r="A26" s="576"/>
      <c r="B26" s="439" t="s">
        <v>257</v>
      </c>
      <c r="C26" s="440">
        <v>0</v>
      </c>
      <c r="D26" s="444">
        <v>2489615</v>
      </c>
      <c r="E26" s="525">
        <f t="shared" si="0"/>
        <v>2489615</v>
      </c>
    </row>
    <row r="27" spans="1:5" ht="12.75">
      <c r="A27" s="577" t="s">
        <v>245</v>
      </c>
      <c r="B27" s="578"/>
      <c r="C27" s="441">
        <f>SUM(C20:C26)</f>
        <v>30208356</v>
      </c>
      <c r="D27" s="445">
        <f>SUM(D20:D26)</f>
        <v>170002649</v>
      </c>
      <c r="E27" s="526">
        <f t="shared" si="0"/>
        <v>200211005</v>
      </c>
    </row>
    <row r="28" spans="1:5" ht="12.75">
      <c r="A28" s="579" t="s">
        <v>258</v>
      </c>
      <c r="B28" s="439" t="s">
        <v>243</v>
      </c>
      <c r="C28" s="440">
        <v>1028596631</v>
      </c>
      <c r="D28" s="446">
        <v>5828714242</v>
      </c>
      <c r="E28" s="527">
        <f t="shared" si="0"/>
        <v>6857310873</v>
      </c>
    </row>
    <row r="29" spans="1:5" ht="12.75">
      <c r="A29" s="575"/>
      <c r="B29" s="439" t="s">
        <v>244</v>
      </c>
      <c r="C29" s="440">
        <v>830000</v>
      </c>
      <c r="D29" s="444">
        <v>4702000</v>
      </c>
      <c r="E29" s="525">
        <f t="shared" si="0"/>
        <v>5532000</v>
      </c>
    </row>
    <row r="30" spans="1:5" ht="25.5">
      <c r="A30" s="575"/>
      <c r="B30" s="439" t="s">
        <v>259</v>
      </c>
      <c r="C30" s="440">
        <v>9025109</v>
      </c>
      <c r="D30" s="444">
        <v>21290279</v>
      </c>
      <c r="E30" s="525">
        <f t="shared" si="0"/>
        <v>30315388</v>
      </c>
    </row>
    <row r="31" spans="1:5" ht="12.75">
      <c r="A31" s="576"/>
      <c r="B31" s="439" t="s">
        <v>260</v>
      </c>
      <c r="C31" s="440">
        <v>1206400</v>
      </c>
      <c r="D31" s="444">
        <v>1857000</v>
      </c>
      <c r="E31" s="525">
        <f t="shared" si="0"/>
        <v>3063400</v>
      </c>
    </row>
    <row r="32" spans="1:5" ht="12.75">
      <c r="A32" s="577" t="s">
        <v>245</v>
      </c>
      <c r="B32" s="578"/>
      <c r="C32" s="441">
        <v>1039658140</v>
      </c>
      <c r="D32" s="445">
        <v>5856563521</v>
      </c>
      <c r="E32" s="526">
        <f t="shared" si="0"/>
        <v>6896221661</v>
      </c>
    </row>
    <row r="33" spans="1:5" ht="12.75">
      <c r="A33" s="579" t="s">
        <v>261</v>
      </c>
      <c r="B33" s="439" t="s">
        <v>262</v>
      </c>
      <c r="C33" s="440">
        <v>156684</v>
      </c>
      <c r="D33" s="444">
        <v>1136893</v>
      </c>
      <c r="E33" s="525">
        <f t="shared" si="0"/>
        <v>1293577</v>
      </c>
    </row>
    <row r="34" spans="1:5" ht="12.75">
      <c r="A34" s="575"/>
      <c r="B34" s="439" t="s">
        <v>243</v>
      </c>
      <c r="C34" s="440">
        <v>31459969</v>
      </c>
      <c r="D34" s="444">
        <v>100000000</v>
      </c>
      <c r="E34" s="525">
        <f t="shared" si="0"/>
        <v>131459969</v>
      </c>
    </row>
    <row r="35" spans="1:5" ht="12.75">
      <c r="A35" s="575"/>
      <c r="B35" s="439" t="s">
        <v>250</v>
      </c>
      <c r="C35" s="440">
        <v>32953886</v>
      </c>
      <c r="D35" s="444">
        <v>5085208</v>
      </c>
      <c r="E35" s="525">
        <f t="shared" si="0"/>
        <v>38039094</v>
      </c>
    </row>
    <row r="36" spans="1:5" ht="12.75">
      <c r="A36" s="575"/>
      <c r="B36" s="439" t="s">
        <v>263</v>
      </c>
      <c r="C36" s="440">
        <v>154451135</v>
      </c>
      <c r="D36" s="444">
        <v>1000000000</v>
      </c>
      <c r="E36" s="525">
        <f t="shared" si="0"/>
        <v>1154451135</v>
      </c>
    </row>
    <row r="37" spans="1:5" ht="25.5">
      <c r="A37" s="575"/>
      <c r="B37" s="439" t="s">
        <v>264</v>
      </c>
      <c r="C37" s="440">
        <v>480571</v>
      </c>
      <c r="D37" s="444">
        <v>13785016</v>
      </c>
      <c r="E37" s="525">
        <f t="shared" si="0"/>
        <v>14265587</v>
      </c>
    </row>
    <row r="38" spans="1:5" ht="25.5">
      <c r="A38" s="575"/>
      <c r="B38" s="439" t="s">
        <v>265</v>
      </c>
      <c r="C38" s="440">
        <v>42745</v>
      </c>
      <c r="D38" s="444">
        <v>242216</v>
      </c>
      <c r="E38" s="525">
        <f t="shared" si="0"/>
        <v>284961</v>
      </c>
    </row>
    <row r="39" spans="1:5" ht="25.5">
      <c r="A39" s="575"/>
      <c r="B39" s="439" t="s">
        <v>266</v>
      </c>
      <c r="C39" s="440">
        <v>0</v>
      </c>
      <c r="D39" s="444">
        <v>8606</v>
      </c>
      <c r="E39" s="525">
        <f t="shared" si="0"/>
        <v>8606</v>
      </c>
    </row>
    <row r="40" spans="1:5" ht="12.75">
      <c r="A40" s="575"/>
      <c r="B40" s="439" t="s">
        <v>267</v>
      </c>
      <c r="C40" s="440">
        <v>703580</v>
      </c>
      <c r="D40" s="444">
        <v>3194653</v>
      </c>
      <c r="E40" s="525">
        <f t="shared" si="0"/>
        <v>3898233</v>
      </c>
    </row>
    <row r="41" spans="1:5" ht="12.75">
      <c r="A41" s="575"/>
      <c r="B41" s="439" t="s">
        <v>247</v>
      </c>
      <c r="C41" s="440">
        <v>2479104</v>
      </c>
      <c r="D41" s="444">
        <v>21668222</v>
      </c>
      <c r="E41" s="525">
        <f t="shared" si="0"/>
        <v>24147326</v>
      </c>
    </row>
    <row r="42" spans="1:5" ht="12.75">
      <c r="A42" s="575"/>
      <c r="B42" s="439" t="s">
        <v>257</v>
      </c>
      <c r="C42" s="440">
        <v>30759622</v>
      </c>
      <c r="D42" s="444">
        <v>108070683</v>
      </c>
      <c r="E42" s="525">
        <f t="shared" si="0"/>
        <v>138830305</v>
      </c>
    </row>
    <row r="43" spans="1:5" ht="12.75">
      <c r="A43" s="576"/>
      <c r="B43" s="439" t="s">
        <v>268</v>
      </c>
      <c r="C43" s="440">
        <v>0</v>
      </c>
      <c r="D43" s="444">
        <v>0</v>
      </c>
      <c r="E43" s="525">
        <f t="shared" si="0"/>
        <v>0</v>
      </c>
    </row>
    <row r="44" spans="1:5" ht="12.75">
      <c r="A44" s="577" t="s">
        <v>245</v>
      </c>
      <c r="B44" s="578"/>
      <c r="C44" s="441">
        <v>253487296</v>
      </c>
      <c r="D44" s="445">
        <v>1253191497</v>
      </c>
      <c r="E44" s="526">
        <f t="shared" si="0"/>
        <v>1506678793</v>
      </c>
    </row>
    <row r="45" spans="1:5" ht="12.75">
      <c r="A45" s="579" t="s">
        <v>269</v>
      </c>
      <c r="B45" s="439" t="s">
        <v>270</v>
      </c>
      <c r="C45" s="440">
        <v>35000000</v>
      </c>
      <c r="D45" s="444">
        <v>1000000</v>
      </c>
      <c r="E45" s="525">
        <f t="shared" si="0"/>
        <v>36000000</v>
      </c>
    </row>
    <row r="46" spans="1:5" ht="12.75">
      <c r="A46" s="575"/>
      <c r="B46" s="439" t="s">
        <v>243</v>
      </c>
      <c r="C46" s="440">
        <v>2150000</v>
      </c>
      <c r="D46" s="444">
        <v>10000000</v>
      </c>
      <c r="E46" s="525">
        <f t="shared" si="0"/>
        <v>12150000</v>
      </c>
    </row>
    <row r="47" spans="1:5" ht="12.75">
      <c r="A47" s="575"/>
      <c r="B47" s="439" t="s">
        <v>271</v>
      </c>
      <c r="C47" s="440">
        <v>0</v>
      </c>
      <c r="D47" s="444">
        <v>1500000000</v>
      </c>
      <c r="E47" s="525">
        <f t="shared" si="0"/>
        <v>1500000000</v>
      </c>
    </row>
    <row r="48" spans="1:5" ht="12.75">
      <c r="A48" s="575"/>
      <c r="B48" s="439" t="s">
        <v>250</v>
      </c>
      <c r="C48" s="440">
        <v>20000000</v>
      </c>
      <c r="D48" s="444">
        <v>8000000000</v>
      </c>
      <c r="E48" s="525">
        <f t="shared" si="0"/>
        <v>8020000000</v>
      </c>
    </row>
    <row r="49" spans="1:5" ht="12.75">
      <c r="A49" s="575"/>
      <c r="B49" s="439" t="s">
        <v>244</v>
      </c>
      <c r="C49" s="440">
        <v>450000</v>
      </c>
      <c r="D49" s="444">
        <v>2550000</v>
      </c>
      <c r="E49" s="525">
        <f t="shared" si="0"/>
        <v>3000000</v>
      </c>
    </row>
    <row r="50" spans="1:5" ht="25.5">
      <c r="A50" s="575"/>
      <c r="B50" s="439" t="s">
        <v>264</v>
      </c>
      <c r="C50" s="440">
        <v>3000000</v>
      </c>
      <c r="D50" s="444">
        <v>0</v>
      </c>
      <c r="E50" s="525">
        <f t="shared" si="0"/>
        <v>3000000</v>
      </c>
    </row>
    <row r="51" spans="1:5" ht="25.5">
      <c r="A51" s="575"/>
      <c r="B51" s="439" t="s">
        <v>272</v>
      </c>
      <c r="C51" s="440">
        <v>300000</v>
      </c>
      <c r="D51" s="444">
        <v>0</v>
      </c>
      <c r="E51" s="525">
        <f t="shared" si="0"/>
        <v>300000</v>
      </c>
    </row>
    <row r="52" spans="1:5" ht="25.5">
      <c r="A52" s="575"/>
      <c r="B52" s="439" t="s">
        <v>273</v>
      </c>
      <c r="C52" s="440">
        <v>2000000</v>
      </c>
      <c r="D52" s="444">
        <v>10500000</v>
      </c>
      <c r="E52" s="525">
        <f t="shared" si="0"/>
        <v>12500000</v>
      </c>
    </row>
    <row r="53" spans="1:5" ht="25.5">
      <c r="A53" s="575"/>
      <c r="B53" s="439" t="s">
        <v>265</v>
      </c>
      <c r="C53" s="440">
        <v>2000000</v>
      </c>
      <c r="D53" s="444">
        <v>3500000</v>
      </c>
      <c r="E53" s="525">
        <f t="shared" si="0"/>
        <v>5500000</v>
      </c>
    </row>
    <row r="54" spans="1:5" ht="25.5">
      <c r="A54" s="575"/>
      <c r="B54" s="439" t="s">
        <v>266</v>
      </c>
      <c r="C54" s="440">
        <v>2700000</v>
      </c>
      <c r="D54" s="444">
        <v>1600000</v>
      </c>
      <c r="E54" s="525">
        <f t="shared" si="0"/>
        <v>4300000</v>
      </c>
    </row>
    <row r="55" spans="1:5" ht="12.75">
      <c r="A55" s="575"/>
      <c r="B55" s="439" t="s">
        <v>274</v>
      </c>
      <c r="C55" s="440">
        <v>2000000</v>
      </c>
      <c r="D55" s="444">
        <v>21500000</v>
      </c>
      <c r="E55" s="525">
        <f t="shared" si="0"/>
        <v>23500000</v>
      </c>
    </row>
    <row r="56" spans="1:5" ht="12.75">
      <c r="A56" s="575"/>
      <c r="B56" s="439" t="s">
        <v>275</v>
      </c>
      <c r="C56" s="440">
        <v>2600000</v>
      </c>
      <c r="D56" s="444">
        <v>4500000</v>
      </c>
      <c r="E56" s="525">
        <f t="shared" si="0"/>
        <v>7100000</v>
      </c>
    </row>
    <row r="57" spans="1:5" ht="12.75">
      <c r="A57" s="576"/>
      <c r="B57" s="439" t="s">
        <v>276</v>
      </c>
      <c r="C57" s="440">
        <v>600000</v>
      </c>
      <c r="D57" s="444">
        <v>0</v>
      </c>
      <c r="E57" s="525">
        <f t="shared" si="0"/>
        <v>600000</v>
      </c>
    </row>
    <row r="58" spans="1:5" ht="12.75">
      <c r="A58" s="577" t="s">
        <v>245</v>
      </c>
      <c r="B58" s="578"/>
      <c r="C58" s="441">
        <v>72800000</v>
      </c>
      <c r="D58" s="445">
        <v>9555150000</v>
      </c>
      <c r="E58" s="526">
        <f t="shared" si="0"/>
        <v>9627950000</v>
      </c>
    </row>
    <row r="59" spans="1:5" ht="12.75">
      <c r="A59" s="579" t="s">
        <v>277</v>
      </c>
      <c r="B59" s="439" t="s">
        <v>243</v>
      </c>
      <c r="C59" s="440">
        <v>6403614</v>
      </c>
      <c r="D59" s="444">
        <v>17177250</v>
      </c>
      <c r="E59" s="525">
        <f t="shared" si="0"/>
        <v>23580864</v>
      </c>
    </row>
    <row r="60" spans="1:5" ht="12.75">
      <c r="A60" s="575"/>
      <c r="B60" s="439" t="s">
        <v>263</v>
      </c>
      <c r="C60" s="440">
        <v>311752488</v>
      </c>
      <c r="D60" s="444">
        <v>19000000000</v>
      </c>
      <c r="E60" s="525">
        <f t="shared" si="0"/>
        <v>19311752488</v>
      </c>
    </row>
    <row r="61" spans="1:5" ht="12.75">
      <c r="A61" s="575"/>
      <c r="B61" s="439" t="s">
        <v>278</v>
      </c>
      <c r="C61" s="440">
        <v>0</v>
      </c>
      <c r="D61" s="444">
        <v>1000000000</v>
      </c>
      <c r="E61" s="525">
        <f t="shared" si="0"/>
        <v>1000000000</v>
      </c>
    </row>
    <row r="62" spans="1:5" ht="12.75">
      <c r="A62" s="575"/>
      <c r="B62" s="439" t="s">
        <v>279</v>
      </c>
      <c r="C62" s="440">
        <v>123539317</v>
      </c>
      <c r="D62" s="444">
        <v>800000000</v>
      </c>
      <c r="E62" s="525">
        <f t="shared" si="0"/>
        <v>923539317</v>
      </c>
    </row>
    <row r="63" spans="1:5" ht="25.5">
      <c r="A63" s="575"/>
      <c r="B63" s="439" t="s">
        <v>280</v>
      </c>
      <c r="C63" s="440">
        <v>50544039</v>
      </c>
      <c r="D63" s="444">
        <v>45000000</v>
      </c>
      <c r="E63" s="525">
        <f t="shared" si="0"/>
        <v>95544039</v>
      </c>
    </row>
    <row r="64" spans="1:5" ht="12.75">
      <c r="A64" s="575"/>
      <c r="B64" s="439" t="s">
        <v>281</v>
      </c>
      <c r="C64" s="440">
        <v>0</v>
      </c>
      <c r="D64" s="444">
        <v>2000000</v>
      </c>
      <c r="E64" s="525">
        <f t="shared" si="0"/>
        <v>2000000</v>
      </c>
    </row>
    <row r="65" spans="1:5" ht="12.75">
      <c r="A65" s="575"/>
      <c r="B65" s="439" t="s">
        <v>274</v>
      </c>
      <c r="C65" s="440">
        <v>2050000</v>
      </c>
      <c r="D65" s="444">
        <v>0</v>
      </c>
      <c r="E65" s="525">
        <f t="shared" si="0"/>
        <v>2050000</v>
      </c>
    </row>
    <row r="66" spans="1:5" ht="12.75">
      <c r="A66" s="575"/>
      <c r="B66" s="439" t="s">
        <v>275</v>
      </c>
      <c r="C66" s="440">
        <v>1400000</v>
      </c>
      <c r="D66" s="444">
        <v>0</v>
      </c>
      <c r="E66" s="525">
        <f t="shared" si="0"/>
        <v>1400000</v>
      </c>
    </row>
    <row r="67" spans="1:5" ht="12.75">
      <c r="A67" s="576"/>
      <c r="B67" s="439" t="s">
        <v>276</v>
      </c>
      <c r="C67" s="440">
        <v>2550000</v>
      </c>
      <c r="D67" s="444">
        <v>0</v>
      </c>
      <c r="E67" s="525">
        <f t="shared" si="0"/>
        <v>2550000</v>
      </c>
    </row>
    <row r="68" spans="1:5" ht="12.75">
      <c r="A68" s="577" t="s">
        <v>245</v>
      </c>
      <c r="B68" s="578"/>
      <c r="C68" s="441">
        <v>498239458</v>
      </c>
      <c r="D68" s="445">
        <v>20864177250</v>
      </c>
      <c r="E68" s="526">
        <f t="shared" si="0"/>
        <v>21362416708</v>
      </c>
    </row>
    <row r="69" spans="1:5" ht="12.75">
      <c r="A69" s="579" t="s">
        <v>282</v>
      </c>
      <c r="B69" s="439" t="s">
        <v>283</v>
      </c>
      <c r="C69" s="440">
        <v>0</v>
      </c>
      <c r="D69" s="444">
        <v>0</v>
      </c>
      <c r="E69" s="525">
        <f t="shared" si="0"/>
        <v>0</v>
      </c>
    </row>
    <row r="70" spans="1:5" ht="25.5">
      <c r="A70" s="575"/>
      <c r="B70" s="439" t="s">
        <v>284</v>
      </c>
      <c r="C70" s="440">
        <v>508005923</v>
      </c>
      <c r="D70" s="444">
        <v>12000000000</v>
      </c>
      <c r="E70" s="525">
        <f t="shared" si="0"/>
        <v>12508005923</v>
      </c>
    </row>
    <row r="71" spans="1:5" ht="12.75">
      <c r="A71" s="575"/>
      <c r="B71" s="439" t="s">
        <v>242</v>
      </c>
      <c r="C71" s="440">
        <v>0</v>
      </c>
      <c r="D71" s="444">
        <v>0</v>
      </c>
      <c r="E71" s="525">
        <f t="shared" si="0"/>
        <v>0</v>
      </c>
    </row>
    <row r="72" spans="1:5" ht="12.75">
      <c r="A72" s="575"/>
      <c r="B72" s="439" t="s">
        <v>243</v>
      </c>
      <c r="C72" s="440">
        <v>2222407</v>
      </c>
      <c r="D72" s="444">
        <v>14718572</v>
      </c>
      <c r="E72" s="525">
        <f t="shared" si="0"/>
        <v>16940979</v>
      </c>
    </row>
    <row r="73" spans="1:5" ht="12.75">
      <c r="A73" s="575"/>
      <c r="B73" s="439" t="s">
        <v>250</v>
      </c>
      <c r="C73" s="440">
        <v>1574593</v>
      </c>
      <c r="D73" s="444">
        <v>0</v>
      </c>
      <c r="E73" s="525">
        <f t="shared" si="1" ref="E73:E127">C73+D73</f>
        <v>1574593</v>
      </c>
    </row>
    <row r="74" spans="1:5" ht="12.75">
      <c r="A74" s="575"/>
      <c r="B74" s="439" t="s">
        <v>276</v>
      </c>
      <c r="C74" s="440">
        <v>0</v>
      </c>
      <c r="D74" s="444">
        <v>0</v>
      </c>
      <c r="E74" s="525">
        <f t="shared" si="1"/>
        <v>0</v>
      </c>
    </row>
    <row r="75" spans="1:5" ht="12.75">
      <c r="A75" s="576"/>
      <c r="B75" s="439" t="s">
        <v>285</v>
      </c>
      <c r="C75" s="440">
        <v>18000000</v>
      </c>
      <c r="D75" s="444">
        <v>0</v>
      </c>
      <c r="E75" s="525">
        <f t="shared" si="1"/>
        <v>18000000</v>
      </c>
    </row>
    <row r="76" spans="1:5" ht="12.75">
      <c r="A76" s="577" t="s">
        <v>245</v>
      </c>
      <c r="B76" s="578"/>
      <c r="C76" s="441">
        <v>529802923</v>
      </c>
      <c r="D76" s="445">
        <v>12014718572</v>
      </c>
      <c r="E76" s="526">
        <f t="shared" si="1"/>
        <v>12544521495</v>
      </c>
    </row>
    <row r="77" spans="1:5" ht="12.75">
      <c r="A77" s="579" t="s">
        <v>286</v>
      </c>
      <c r="B77" s="439" t="s">
        <v>243</v>
      </c>
      <c r="C77" s="440">
        <v>510807</v>
      </c>
      <c r="D77" s="444">
        <v>510807</v>
      </c>
      <c r="E77" s="525">
        <f t="shared" si="1"/>
        <v>1021614</v>
      </c>
    </row>
    <row r="78" spans="1:5" ht="12.75">
      <c r="A78" s="575"/>
      <c r="B78" s="439" t="s">
        <v>287</v>
      </c>
      <c r="C78" s="440">
        <v>0</v>
      </c>
      <c r="D78" s="444">
        <v>3000000000</v>
      </c>
      <c r="E78" s="525">
        <f t="shared" si="1"/>
        <v>3000000000</v>
      </c>
    </row>
    <row r="79" spans="1:5" ht="12.75">
      <c r="A79" s="575"/>
      <c r="B79" s="439" t="s">
        <v>288</v>
      </c>
      <c r="C79" s="440">
        <v>15042648</v>
      </c>
      <c r="D79" s="444">
        <v>8000000000</v>
      </c>
      <c r="E79" s="525">
        <f t="shared" si="1"/>
        <v>8015042648</v>
      </c>
    </row>
    <row r="80" spans="1:5" ht="12.75">
      <c r="A80" s="576"/>
      <c r="B80" s="439" t="s">
        <v>289</v>
      </c>
      <c r="C80" s="440">
        <v>3085942</v>
      </c>
      <c r="D80" s="444">
        <v>1000000000</v>
      </c>
      <c r="E80" s="525">
        <f t="shared" si="1"/>
        <v>1003085942</v>
      </c>
    </row>
    <row r="81" spans="1:5" ht="12.75">
      <c r="A81" s="577" t="s">
        <v>245</v>
      </c>
      <c r="B81" s="578"/>
      <c r="C81" s="441">
        <v>18639397</v>
      </c>
      <c r="D81" s="445">
        <v>12000510807</v>
      </c>
      <c r="E81" s="526">
        <f t="shared" si="1"/>
        <v>12019150204</v>
      </c>
    </row>
    <row r="82" spans="1:5" ht="12.75">
      <c r="A82" s="579" t="s">
        <v>290</v>
      </c>
      <c r="B82" s="439" t="s">
        <v>291</v>
      </c>
      <c r="C82" s="440">
        <v>0</v>
      </c>
      <c r="D82" s="444">
        <v>0</v>
      </c>
      <c r="E82" s="525">
        <f t="shared" si="1"/>
        <v>0</v>
      </c>
    </row>
    <row r="83" spans="1:5" ht="12.75">
      <c r="A83" s="575"/>
      <c r="B83" s="439" t="s">
        <v>292</v>
      </c>
      <c r="C83" s="440">
        <v>40000000</v>
      </c>
      <c r="D83" s="444">
        <v>90000000</v>
      </c>
      <c r="E83" s="525">
        <f t="shared" si="1"/>
        <v>130000000</v>
      </c>
    </row>
    <row r="84" spans="1:5" ht="12.75">
      <c r="A84" s="575"/>
      <c r="B84" s="439" t="s">
        <v>271</v>
      </c>
      <c r="C84" s="440">
        <v>0</v>
      </c>
      <c r="D84" s="444">
        <v>0</v>
      </c>
      <c r="E84" s="525">
        <f t="shared" si="1"/>
        <v>0</v>
      </c>
    </row>
    <row r="85" spans="1:5" ht="12.75">
      <c r="A85" s="575"/>
      <c r="B85" s="439" t="s">
        <v>250</v>
      </c>
      <c r="C85" s="440">
        <v>0</v>
      </c>
      <c r="D85" s="444">
        <v>0</v>
      </c>
      <c r="E85" s="525">
        <f t="shared" si="1"/>
        <v>0</v>
      </c>
    </row>
    <row r="86" spans="1:5" ht="12.75">
      <c r="A86" s="575"/>
      <c r="B86" s="439" t="s">
        <v>293</v>
      </c>
      <c r="C86" s="440">
        <v>4500000000</v>
      </c>
      <c r="D86" s="444">
        <v>8346619093</v>
      </c>
      <c r="E86" s="525">
        <f t="shared" si="1"/>
        <v>12846619093</v>
      </c>
    </row>
    <row r="87" spans="1:5" ht="12.75">
      <c r="A87" s="575"/>
      <c r="B87" s="439" t="s">
        <v>294</v>
      </c>
      <c r="C87" s="440">
        <v>596300000</v>
      </c>
      <c r="D87" s="444">
        <v>21944764000</v>
      </c>
      <c r="E87" s="525">
        <f t="shared" si="1"/>
        <v>22541064000</v>
      </c>
    </row>
    <row r="88" spans="1:5" ht="12.75">
      <c r="A88" s="575"/>
      <c r="B88" s="439" t="s">
        <v>295</v>
      </c>
      <c r="C88" s="440">
        <v>138639000</v>
      </c>
      <c r="D88" s="444">
        <v>113493968</v>
      </c>
      <c r="E88" s="525">
        <f t="shared" si="1"/>
        <v>252132968</v>
      </c>
    </row>
    <row r="89" spans="1:5" ht="12.75">
      <c r="A89" s="575"/>
      <c r="B89" s="439" t="s">
        <v>296</v>
      </c>
      <c r="C89" s="440">
        <v>34000000</v>
      </c>
      <c r="D89" s="444">
        <v>34000000</v>
      </c>
      <c r="E89" s="525">
        <f t="shared" si="1"/>
        <v>68000000</v>
      </c>
    </row>
    <row r="90" spans="1:5" ht="12.75">
      <c r="A90" s="577" t="s">
        <v>245</v>
      </c>
      <c r="B90" s="578"/>
      <c r="C90" s="441">
        <f>SUM(C82:C89)</f>
        <v>5308939000</v>
      </c>
      <c r="D90" s="445">
        <f t="shared" si="2" ref="D90:E90">SUM(D82:D89)</f>
        <v>30528877061</v>
      </c>
      <c r="E90" s="526">
        <f t="shared" si="2"/>
        <v>35837816061</v>
      </c>
    </row>
    <row r="91" spans="1:5" ht="12.75">
      <c r="A91" s="579" t="s">
        <v>297</v>
      </c>
      <c r="B91" s="439" t="s">
        <v>298</v>
      </c>
      <c r="C91" s="440">
        <v>33750000</v>
      </c>
      <c r="D91" s="444">
        <v>11250000</v>
      </c>
      <c r="E91" s="525">
        <f t="shared" si="1"/>
        <v>45000000</v>
      </c>
    </row>
    <row r="92" spans="1:5" ht="12.75">
      <c r="A92" s="575"/>
      <c r="B92" s="439" t="s">
        <v>242</v>
      </c>
      <c r="C92" s="440">
        <v>1727905802</v>
      </c>
      <c r="D92" s="444">
        <v>12000000000</v>
      </c>
      <c r="E92" s="525">
        <f t="shared" si="1"/>
        <v>13727905802</v>
      </c>
    </row>
    <row r="93" spans="1:5" ht="12.75">
      <c r="A93" s="575"/>
      <c r="B93" s="439" t="s">
        <v>243</v>
      </c>
      <c r="C93" s="440">
        <v>13499922</v>
      </c>
      <c r="D93" s="444">
        <v>76438600</v>
      </c>
      <c r="E93" s="525">
        <f t="shared" si="1"/>
        <v>89938522</v>
      </c>
    </row>
    <row r="94" spans="1:5" ht="12.75">
      <c r="A94" s="575"/>
      <c r="B94" s="439" t="s">
        <v>263</v>
      </c>
      <c r="C94" s="440">
        <v>8743383</v>
      </c>
      <c r="D94" s="444">
        <v>36937823</v>
      </c>
      <c r="E94" s="525">
        <f t="shared" si="1"/>
        <v>45681206</v>
      </c>
    </row>
    <row r="95" spans="1:5" ht="12.75">
      <c r="A95" s="575"/>
      <c r="B95" s="439" t="s">
        <v>268</v>
      </c>
      <c r="C95" s="440">
        <v>4055000</v>
      </c>
      <c r="D95" s="444">
        <v>220863</v>
      </c>
      <c r="E95" s="525">
        <f t="shared" si="1"/>
        <v>4275863</v>
      </c>
    </row>
    <row r="96" spans="1:5" ht="12.75">
      <c r="A96" s="576"/>
      <c r="B96" s="439" t="s">
        <v>299</v>
      </c>
      <c r="C96" s="440">
        <v>86800</v>
      </c>
      <c r="D96" s="444">
        <v>1360000</v>
      </c>
      <c r="E96" s="525">
        <f t="shared" si="1"/>
        <v>1446800</v>
      </c>
    </row>
    <row r="97" spans="1:5" ht="12.75">
      <c r="A97" s="577" t="s">
        <v>245</v>
      </c>
      <c r="B97" s="578"/>
      <c r="C97" s="441">
        <v>1788040907</v>
      </c>
      <c r="D97" s="445">
        <v>12126207286</v>
      </c>
      <c r="E97" s="526">
        <f t="shared" si="1"/>
        <v>13914248193</v>
      </c>
    </row>
    <row r="98" spans="1:5" ht="12.75">
      <c r="A98" s="580" t="s">
        <v>300</v>
      </c>
      <c r="B98" s="447" t="s">
        <v>292</v>
      </c>
      <c r="C98" s="440">
        <v>0</v>
      </c>
      <c r="D98" s="444">
        <v>0</v>
      </c>
      <c r="E98" s="525">
        <f t="shared" si="1"/>
        <v>0</v>
      </c>
    </row>
    <row r="99" spans="1:5" ht="12.75">
      <c r="A99" s="581"/>
      <c r="B99" s="447" t="s">
        <v>242</v>
      </c>
      <c r="C99" s="440">
        <v>500000</v>
      </c>
      <c r="D99" s="444">
        <v>2833333</v>
      </c>
      <c r="E99" s="525">
        <f t="shared" si="1"/>
        <v>3333333</v>
      </c>
    </row>
    <row r="100" spans="1:5" ht="12.75">
      <c r="A100" s="581"/>
      <c r="B100" s="447" t="s">
        <v>243</v>
      </c>
      <c r="C100" s="440">
        <v>6311101</v>
      </c>
      <c r="D100" s="444">
        <v>25244404</v>
      </c>
      <c r="E100" s="525">
        <f t="shared" si="1"/>
        <v>31555505</v>
      </c>
    </row>
    <row r="101" spans="1:5" ht="12.75">
      <c r="A101" s="581"/>
      <c r="B101" s="447" t="s">
        <v>250</v>
      </c>
      <c r="C101" s="440">
        <v>9240000</v>
      </c>
      <c r="D101" s="444">
        <v>7260000</v>
      </c>
      <c r="E101" s="525">
        <f t="shared" si="1"/>
        <v>16500000</v>
      </c>
    </row>
    <row r="102" spans="1:5" ht="12.75">
      <c r="A102" s="582"/>
      <c r="B102" s="447" t="s">
        <v>263</v>
      </c>
      <c r="C102" s="440">
        <v>122358899</v>
      </c>
      <c r="D102" s="444">
        <v>0</v>
      </c>
      <c r="E102" s="525">
        <f t="shared" si="1"/>
        <v>122358899</v>
      </c>
    </row>
    <row r="103" spans="1:5" ht="12.75">
      <c r="A103" s="577" t="s">
        <v>245</v>
      </c>
      <c r="B103" s="578"/>
      <c r="C103" s="441">
        <v>138410000</v>
      </c>
      <c r="D103" s="445">
        <v>35337737</v>
      </c>
      <c r="E103" s="526">
        <f t="shared" si="1"/>
        <v>173747737</v>
      </c>
    </row>
    <row r="104" spans="1:5" ht="12.75">
      <c r="A104" s="579" t="s">
        <v>301</v>
      </c>
      <c r="B104" s="439" t="s">
        <v>242</v>
      </c>
      <c r="C104" s="440">
        <v>0</v>
      </c>
      <c r="D104" s="444">
        <v>700000000</v>
      </c>
      <c r="E104" s="525">
        <f t="shared" si="1"/>
        <v>700000000</v>
      </c>
    </row>
    <row r="105" spans="1:5" ht="12.75">
      <c r="A105" s="575"/>
      <c r="B105" s="439" t="s">
        <v>243</v>
      </c>
      <c r="C105" s="440">
        <v>45000000</v>
      </c>
      <c r="D105" s="444">
        <v>500000000</v>
      </c>
      <c r="E105" s="525">
        <f t="shared" si="1"/>
        <v>545000000</v>
      </c>
    </row>
    <row r="106" spans="1:5" ht="12.75">
      <c r="A106" s="575"/>
      <c r="B106" s="439" t="s">
        <v>250</v>
      </c>
      <c r="C106" s="440">
        <v>0</v>
      </c>
      <c r="D106" s="444">
        <v>0</v>
      </c>
      <c r="E106" s="525">
        <f t="shared" si="1"/>
        <v>0</v>
      </c>
    </row>
    <row r="107" spans="1:5" ht="12.75">
      <c r="A107" s="575"/>
      <c r="B107" s="439" t="s">
        <v>263</v>
      </c>
      <c r="C107" s="440">
        <v>80000000</v>
      </c>
      <c r="D107" s="444">
        <v>700000000</v>
      </c>
      <c r="E107" s="525">
        <f t="shared" si="1"/>
        <v>780000000</v>
      </c>
    </row>
    <row r="108" spans="1:5" ht="12.75">
      <c r="A108" s="576"/>
      <c r="B108" s="439" t="s">
        <v>302</v>
      </c>
      <c r="C108" s="440">
        <v>0</v>
      </c>
      <c r="D108" s="444">
        <v>0</v>
      </c>
      <c r="E108" s="525">
        <f t="shared" si="1"/>
        <v>0</v>
      </c>
    </row>
    <row r="109" spans="1:5" ht="12.75">
      <c r="A109" s="577" t="s">
        <v>245</v>
      </c>
      <c r="B109" s="578"/>
      <c r="C109" s="441">
        <v>125000000</v>
      </c>
      <c r="D109" s="445">
        <v>1900000000</v>
      </c>
      <c r="E109" s="526">
        <f t="shared" si="1"/>
        <v>2025000000</v>
      </c>
    </row>
    <row r="110" spans="1:5" ht="12.75">
      <c r="A110" s="580" t="s">
        <v>303</v>
      </c>
      <c r="B110" s="439" t="s">
        <v>243</v>
      </c>
      <c r="C110" s="440">
        <v>9163217</v>
      </c>
      <c r="D110" s="444">
        <v>10000000</v>
      </c>
      <c r="E110" s="525">
        <f t="shared" si="1"/>
        <v>19163217</v>
      </c>
    </row>
    <row r="111" spans="1:5" ht="12.75">
      <c r="A111" s="581"/>
      <c r="B111" s="439" t="s">
        <v>250</v>
      </c>
      <c r="C111" s="440">
        <v>38128825</v>
      </c>
      <c r="D111" s="444">
        <v>50000000</v>
      </c>
      <c r="E111" s="525">
        <f t="shared" si="1"/>
        <v>88128825</v>
      </c>
    </row>
    <row r="112" spans="1:5" ht="12.75">
      <c r="A112" s="582"/>
      <c r="B112" s="439" t="s">
        <v>263</v>
      </c>
      <c r="C112" s="440">
        <v>2775107</v>
      </c>
      <c r="D112" s="444">
        <v>11726159</v>
      </c>
      <c r="E112" s="525">
        <f t="shared" si="1"/>
        <v>14501266</v>
      </c>
    </row>
    <row r="113" spans="1:5" ht="12.75">
      <c r="A113" s="577" t="s">
        <v>245</v>
      </c>
      <c r="B113" s="578"/>
      <c r="C113" s="441">
        <v>50067149</v>
      </c>
      <c r="D113" s="445">
        <v>71726159</v>
      </c>
      <c r="E113" s="526">
        <f t="shared" si="1"/>
        <v>121793308</v>
      </c>
    </row>
    <row r="114" spans="1:5" ht="12.75">
      <c r="A114" s="523" t="s">
        <v>304</v>
      </c>
      <c r="B114" s="442" t="s">
        <v>305</v>
      </c>
      <c r="C114" s="443">
        <v>622500</v>
      </c>
      <c r="D114" s="448">
        <v>5602500</v>
      </c>
      <c r="E114" s="528">
        <f t="shared" si="1"/>
        <v>6225000</v>
      </c>
    </row>
    <row r="115" spans="1:5" ht="12.75">
      <c r="A115" s="575" t="s">
        <v>306</v>
      </c>
      <c r="B115" s="439" t="s">
        <v>243</v>
      </c>
      <c r="C115" s="440">
        <v>528936</v>
      </c>
      <c r="D115" s="444">
        <v>2115742</v>
      </c>
      <c r="E115" s="525">
        <f t="shared" si="1"/>
        <v>2644678</v>
      </c>
    </row>
    <row r="116" spans="1:5" ht="12.75">
      <c r="A116" s="576"/>
      <c r="B116" s="439" t="s">
        <v>307</v>
      </c>
      <c r="C116" s="440">
        <v>5614640</v>
      </c>
      <c r="D116" s="444">
        <v>15570000</v>
      </c>
      <c r="E116" s="525">
        <f t="shared" si="1"/>
        <v>21184640</v>
      </c>
    </row>
    <row r="117" spans="1:5" ht="12.75">
      <c r="A117" s="577" t="s">
        <v>245</v>
      </c>
      <c r="B117" s="578"/>
      <c r="C117" s="441">
        <v>6143576</v>
      </c>
      <c r="D117" s="445">
        <v>17685742</v>
      </c>
      <c r="E117" s="526">
        <f t="shared" si="1"/>
        <v>23829318</v>
      </c>
    </row>
    <row r="118" spans="1:5" ht="12.75">
      <c r="A118" s="529" t="s">
        <v>308</v>
      </c>
      <c r="B118" s="449" t="s">
        <v>263</v>
      </c>
      <c r="C118" s="450">
        <v>2352319</v>
      </c>
      <c r="D118" s="451">
        <v>9939681</v>
      </c>
      <c r="E118" s="530">
        <f t="shared" si="1"/>
        <v>12292000</v>
      </c>
    </row>
    <row r="119" spans="1:5" ht="12.75">
      <c r="A119" s="523" t="s">
        <v>309</v>
      </c>
      <c r="B119" s="442" t="s">
        <v>250</v>
      </c>
      <c r="C119" s="443">
        <v>0</v>
      </c>
      <c r="D119" s="448">
        <v>0</v>
      </c>
      <c r="E119" s="528">
        <f t="shared" si="1"/>
        <v>0</v>
      </c>
    </row>
    <row r="120" spans="1:5" ht="12.75">
      <c r="A120" s="575" t="s">
        <v>310</v>
      </c>
      <c r="B120" s="439" t="s">
        <v>289</v>
      </c>
      <c r="C120" s="440">
        <v>0</v>
      </c>
      <c r="D120" s="444">
        <v>765000</v>
      </c>
      <c r="E120" s="525">
        <f t="shared" si="1"/>
        <v>765000</v>
      </c>
    </row>
    <row r="121" spans="1:5" ht="12.75">
      <c r="A121" s="576"/>
      <c r="B121" s="439" t="s">
        <v>299</v>
      </c>
      <c r="C121" s="440">
        <v>0</v>
      </c>
      <c r="D121" s="444">
        <v>3225827</v>
      </c>
      <c r="E121" s="525">
        <f t="shared" si="1"/>
        <v>3225827</v>
      </c>
    </row>
    <row r="122" spans="1:5" ht="12.75">
      <c r="A122" s="577" t="s">
        <v>245</v>
      </c>
      <c r="B122" s="578"/>
      <c r="C122" s="441">
        <v>0</v>
      </c>
      <c r="D122" s="445">
        <v>3990827</v>
      </c>
      <c r="E122" s="526">
        <f t="shared" si="1"/>
        <v>3990827</v>
      </c>
    </row>
    <row r="123" spans="1:5" ht="12.75">
      <c r="A123" s="531" t="s">
        <v>311</v>
      </c>
      <c r="B123" s="453" t="s">
        <v>268</v>
      </c>
      <c r="C123" s="443">
        <v>659300</v>
      </c>
      <c r="D123" s="448">
        <v>1192825</v>
      </c>
      <c r="E123" s="528">
        <f t="shared" si="1"/>
        <v>1852125</v>
      </c>
    </row>
    <row r="124" spans="1:5" ht="12.75">
      <c r="A124" s="579" t="s">
        <v>312</v>
      </c>
      <c r="B124" s="439" t="s">
        <v>243</v>
      </c>
      <c r="C124" s="440">
        <v>4493058</v>
      </c>
      <c r="D124" s="444">
        <v>18985323</v>
      </c>
      <c r="E124" s="525">
        <f t="shared" si="1"/>
        <v>23478381</v>
      </c>
    </row>
    <row r="125" spans="1:5" ht="12.75">
      <c r="A125" s="575"/>
      <c r="B125" s="439" t="s">
        <v>244</v>
      </c>
      <c r="C125" s="440">
        <v>1121998</v>
      </c>
      <c r="D125" s="444">
        <v>6357985</v>
      </c>
      <c r="E125" s="525">
        <f t="shared" si="1"/>
        <v>7479983</v>
      </c>
    </row>
    <row r="126" spans="1:5" ht="12.75">
      <c r="A126" s="576"/>
      <c r="B126" s="439" t="s">
        <v>268</v>
      </c>
      <c r="C126" s="440">
        <v>0</v>
      </c>
      <c r="D126" s="444">
        <v>7765482</v>
      </c>
      <c r="E126" s="525">
        <f t="shared" si="1"/>
        <v>7765482</v>
      </c>
    </row>
    <row r="127" spans="1:5" ht="12.75">
      <c r="A127" s="577" t="s">
        <v>245</v>
      </c>
      <c r="B127" s="578"/>
      <c r="C127" s="441">
        <v>5615056</v>
      </c>
      <c r="D127" s="445">
        <v>33108790</v>
      </c>
      <c r="E127" s="526">
        <f t="shared" si="1"/>
        <v>38723846</v>
      </c>
    </row>
    <row r="128" spans="1:5" ht="12.75">
      <c r="A128" s="573" t="s">
        <v>313</v>
      </c>
      <c r="B128" s="574"/>
      <c r="C128" s="441">
        <f>C11+C14+C18+C19+C27+C32+C44+C58+C68+C76+C81+C90+C97+C103+C109+C113+C114+C117+C118+C119+C122+C123+C127</f>
        <v>10100387510</v>
      </c>
      <c r="D128" s="441">
        <f>D11+D14+D18+D19+D27+D32+D44+D58+D68+D76+D81+D90+D97+D103+D109+D113+D114+D117+D118+D119+D122+D123+D127</f>
        <v>106739514328</v>
      </c>
      <c r="E128" s="522">
        <f t="shared" si="3" ref="E128">E11+E14+E18+E19+E27+E32+E44+E58+E68+E76+E81+E90+E97+E103+E109+E113+E114+E117+E118+E119+E122+E123+E127</f>
        <v>116839901838</v>
      </c>
    </row>
    <row r="129" spans="1:5" ht="12.75">
      <c r="A129" s="532" t="s">
        <v>290</v>
      </c>
      <c r="B129" s="533" t="s">
        <v>314</v>
      </c>
      <c r="C129" s="534"/>
      <c r="D129" s="535">
        <v>1400000000</v>
      </c>
      <c r="E129" s="536">
        <f>SUM(E128+D129)</f>
        <v>118239901838</v>
      </c>
    </row>
  </sheetData>
  <mergeCells count="43">
    <mergeCell ref="A18:B18"/>
    <mergeCell ref="A2:E2"/>
    <mergeCell ref="A4:A7"/>
    <mergeCell ref="B4:B7"/>
    <mergeCell ref="C4:C7"/>
    <mergeCell ref="D4:D7"/>
    <mergeCell ref="E4:E7"/>
    <mergeCell ref="A8:A10"/>
    <mergeCell ref="A11:B11"/>
    <mergeCell ref="A12:A13"/>
    <mergeCell ref="A14:B14"/>
    <mergeCell ref="A15:A17"/>
    <mergeCell ref="A76:B76"/>
    <mergeCell ref="A20:A26"/>
    <mergeCell ref="A27:B27"/>
    <mergeCell ref="A28:A31"/>
    <mergeCell ref="A32:B32"/>
    <mergeCell ref="A33:A43"/>
    <mergeCell ref="A44:B44"/>
    <mergeCell ref="A45:A57"/>
    <mergeCell ref="A58:B58"/>
    <mergeCell ref="A59:A67"/>
    <mergeCell ref="A68:B68"/>
    <mergeCell ref="A69:A75"/>
    <mergeCell ref="A113:B113"/>
    <mergeCell ref="A77:A80"/>
    <mergeCell ref="A81:B81"/>
    <mergeCell ref="A82:A89"/>
    <mergeCell ref="A90:B90"/>
    <mergeCell ref="A91:A96"/>
    <mergeCell ref="A97:B97"/>
    <mergeCell ref="A98:A102"/>
    <mergeCell ref="A103:B103"/>
    <mergeCell ref="A104:A108"/>
    <mergeCell ref="A109:B109"/>
    <mergeCell ref="A110:A112"/>
    <mergeCell ref="A128:B128"/>
    <mergeCell ref="A115:A116"/>
    <mergeCell ref="A117:B117"/>
    <mergeCell ref="A120:A121"/>
    <mergeCell ref="A122:B122"/>
    <mergeCell ref="A124:A126"/>
    <mergeCell ref="A127:B127"/>
  </mergeCells>
  <pageMargins left="0.708661417322835" right="0.708661417322835" top="0.78740157480315" bottom="0.78740157480315" header="0.31496062992126" footer="0.31496062992126"/>
  <pageSetup orientation="portrait" paperSize="9" scale="56" r:id="rId1"/>
  <headerFooter>
    <oddHeader>&amp;RTabulka č. 13
strana &amp;P</oddHeader>
  </headerFooter>
  <rowBreaks count="1" manualBreakCount="1">
    <brk id="81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0"/>
  <sheetViews>
    <sheetView workbookViewId="0" topLeftCell="A1">
      <selection pane="topLeft" activeCell="I19" sqref="I19"/>
    </sheetView>
  </sheetViews>
  <sheetFormatPr defaultRowHeight="12.75"/>
  <cols>
    <col min="1" max="1" width="56.1428571428571" customWidth="1"/>
    <col min="2" max="2" width="28" customWidth="1"/>
    <col min="3" max="5" width="24.1428571428571" customWidth="1"/>
    <col min="6" max="6" width="11.8571428571429" bestFit="1" customWidth="1"/>
    <col min="7" max="7" width="13.8571428571429" customWidth="1"/>
  </cols>
  <sheetData>
    <row r="1" spans="1:5" ht="12.75">
      <c r="A1" s="96"/>
      <c r="B1" s="96"/>
      <c r="C1" s="96"/>
      <c r="D1" s="96"/>
      <c r="E1" s="504" t="s">
        <v>134</v>
      </c>
    </row>
    <row r="2" spans="1:6" ht="54" customHeight="1">
      <c r="A2" s="595" t="s">
        <v>318</v>
      </c>
      <c r="B2" s="595"/>
      <c r="C2" s="595"/>
      <c r="D2" s="595"/>
      <c r="E2" s="595"/>
      <c r="F2" s="265"/>
    </row>
    <row r="3" spans="1:6" ht="15.75">
      <c r="A3" s="596" t="s">
        <v>1</v>
      </c>
      <c r="B3" s="596"/>
      <c r="C3" s="596"/>
      <c r="D3" s="596"/>
      <c r="E3" s="596"/>
      <c r="F3" s="266"/>
    </row>
    <row r="4" spans="1:6" ht="15.75">
      <c r="A4" s="597" t="s">
        <v>3</v>
      </c>
      <c r="B4" s="597" t="s">
        <v>145</v>
      </c>
      <c r="C4" s="597" t="s">
        <v>157</v>
      </c>
      <c r="D4" s="597" t="s">
        <v>159</v>
      </c>
      <c r="E4" s="597" t="s">
        <v>46</v>
      </c>
      <c r="F4" s="266"/>
    </row>
    <row r="5" spans="1:6" ht="15.75">
      <c r="A5" s="588"/>
      <c r="B5" s="588"/>
      <c r="C5" s="588"/>
      <c r="D5" s="588"/>
      <c r="E5" s="588"/>
      <c r="F5" s="266"/>
    </row>
    <row r="6" spans="1:6" ht="15.75">
      <c r="A6" s="588"/>
      <c r="B6" s="588"/>
      <c r="C6" s="588"/>
      <c r="D6" s="588"/>
      <c r="E6" s="588"/>
      <c r="F6" s="266"/>
    </row>
    <row r="7" spans="1:7" ht="15.95" customHeight="1">
      <c r="A7" s="598"/>
      <c r="B7" s="598"/>
      <c r="C7" s="598"/>
      <c r="D7" s="598"/>
      <c r="E7" s="598"/>
      <c r="F7" s="266"/>
      <c r="G7" s="267"/>
    </row>
    <row r="8" spans="1:7" ht="15.95" customHeight="1">
      <c r="A8" s="454" t="s">
        <v>241</v>
      </c>
      <c r="B8" s="455" t="s">
        <v>315</v>
      </c>
      <c r="C8" s="456">
        <v>2305800</v>
      </c>
      <c r="D8" s="456">
        <v>13066200</v>
      </c>
      <c r="E8" s="456">
        <f>C8+D8</f>
        <v>15372000</v>
      </c>
      <c r="F8" s="267"/>
      <c r="G8" s="267"/>
    </row>
    <row r="9" spans="1:6" ht="15.95" customHeight="1">
      <c r="A9" s="454" t="s">
        <v>252</v>
      </c>
      <c r="B9" s="455" t="s">
        <v>315</v>
      </c>
      <c r="C9" s="457">
        <v>44002736</v>
      </c>
      <c r="D9" s="456">
        <v>44944240</v>
      </c>
      <c r="E9" s="456">
        <f t="shared" si="0" ref="E9:E14">C9+D9</f>
        <v>88946976</v>
      </c>
      <c r="F9" s="266"/>
    </row>
    <row r="10" spans="1:6" ht="15.95" customHeight="1">
      <c r="A10" s="454" t="s">
        <v>297</v>
      </c>
      <c r="B10" s="455" t="s">
        <v>315</v>
      </c>
      <c r="C10" s="456">
        <v>8933246</v>
      </c>
      <c r="D10" s="456">
        <v>62118970</v>
      </c>
      <c r="E10" s="456">
        <f t="shared" si="0"/>
        <v>71052216</v>
      </c>
      <c r="F10" s="266"/>
    </row>
    <row r="11" spans="1:6" ht="15.95" customHeight="1">
      <c r="A11" s="454" t="s">
        <v>316</v>
      </c>
      <c r="B11" s="455" t="s">
        <v>315</v>
      </c>
      <c r="C11" s="456">
        <v>11000000</v>
      </c>
      <c r="D11" s="456">
        <v>44000000</v>
      </c>
      <c r="E11" s="456">
        <f t="shared" si="0"/>
        <v>55000000</v>
      </c>
      <c r="F11" s="266"/>
    </row>
    <row r="12" spans="1:6" ht="15.95" customHeight="1">
      <c r="A12" s="454" t="s">
        <v>301</v>
      </c>
      <c r="B12" s="455" t="s">
        <v>315</v>
      </c>
      <c r="C12" s="457">
        <v>0</v>
      </c>
      <c r="D12" s="457">
        <v>0</v>
      </c>
      <c r="E12" s="457">
        <v>0</v>
      </c>
      <c r="F12" s="266"/>
    </row>
    <row r="13" spans="1:6" ht="15.95" customHeight="1">
      <c r="A13" s="454" t="s">
        <v>317</v>
      </c>
      <c r="B13" s="455" t="s">
        <v>315</v>
      </c>
      <c r="C13" s="456">
        <v>5079502</v>
      </c>
      <c r="D13" s="456">
        <v>35605891</v>
      </c>
      <c r="E13" s="456">
        <f t="shared" si="0"/>
        <v>40685393</v>
      </c>
      <c r="F13" s="266"/>
    </row>
    <row r="14" spans="1:6" ht="15.75" customHeight="1">
      <c r="A14" s="454" t="s">
        <v>312</v>
      </c>
      <c r="B14" s="455" t="s">
        <v>315</v>
      </c>
      <c r="C14" s="456">
        <v>60044402</v>
      </c>
      <c r="D14" s="456">
        <v>342051611</v>
      </c>
      <c r="E14" s="456">
        <f t="shared" si="0"/>
        <v>402096013</v>
      </c>
      <c r="F14" s="266"/>
    </row>
    <row r="15" spans="1:6" ht="15.95" customHeight="1">
      <c r="A15" s="594" t="s">
        <v>313</v>
      </c>
      <c r="B15" s="594"/>
      <c r="C15" s="458">
        <f>SUM(C8:C14)</f>
        <v>131365686</v>
      </c>
      <c r="D15" s="458">
        <f t="shared" si="1" ref="D15:E15">SUM(D8:D14)</f>
        <v>541786912</v>
      </c>
      <c r="E15" s="458">
        <f t="shared" si="1"/>
        <v>673152598</v>
      </c>
      <c r="F15" s="266"/>
    </row>
    <row r="16" spans="1:5" ht="12.75">
      <c r="A16" s="593"/>
      <c r="B16" s="593"/>
      <c r="C16" s="593"/>
      <c r="D16" s="593"/>
      <c r="E16" s="593"/>
    </row>
    <row r="17" spans="1:5" ht="12.75">
      <c r="A17" s="96"/>
      <c r="B17" s="96"/>
      <c r="C17" s="96"/>
      <c r="D17" s="96"/>
      <c r="E17" s="96"/>
    </row>
    <row r="18" spans="1:5" ht="12.75">
      <c r="A18" s="96"/>
      <c r="B18" s="96"/>
      <c r="C18" s="96"/>
      <c r="D18" s="96"/>
      <c r="E18" s="96"/>
    </row>
    <row r="19" spans="1:5" ht="12.75">
      <c r="A19" s="96"/>
      <c r="B19" s="96"/>
      <c r="C19" s="96"/>
      <c r="D19" s="96"/>
      <c r="E19" s="96"/>
    </row>
    <row r="20" spans="1:5" ht="12.75">
      <c r="A20" s="96"/>
      <c r="B20" s="96"/>
      <c r="C20" s="96"/>
      <c r="D20" s="96"/>
      <c r="E20" s="96"/>
    </row>
  </sheetData>
  <mergeCells count="9">
    <mergeCell ref="A16:E16"/>
    <mergeCell ref="A15:B15"/>
    <mergeCell ref="A2:E2"/>
    <mergeCell ref="A3:E3"/>
    <mergeCell ref="A4:A7"/>
    <mergeCell ref="B4:B7"/>
    <mergeCell ref="C4:C7"/>
    <mergeCell ref="D4:D7"/>
    <mergeCell ref="E4:E7"/>
  </mergeCells>
  <pageMargins left="0.7" right="0.7" top="0.787401575" bottom="0.787401575" header="0.3" footer="0.3"/>
  <pageSetup orientation="landscape" paperSize="9" scale="93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3"/>
  <sheetViews>
    <sheetView workbookViewId="0" topLeftCell="A1">
      <selection pane="topLeft" activeCell="P34" sqref="P34"/>
    </sheetView>
  </sheetViews>
  <sheetFormatPr defaultRowHeight="12.75"/>
  <cols>
    <col min="1" max="1" width="41.7142857142857" customWidth="1"/>
    <col min="2" max="2" width="55.1428571428571" customWidth="1"/>
    <col min="3" max="3" width="20.5714285714286" customWidth="1"/>
    <col min="4" max="4" width="21.2857142857143" customWidth="1"/>
    <col min="5" max="5" width="17.1428571428571" bestFit="1" customWidth="1"/>
  </cols>
  <sheetData>
    <row r="1" spans="1:5" ht="12.75">
      <c r="A1" s="96"/>
      <c r="B1" s="96"/>
      <c r="C1" s="96"/>
      <c r="D1" s="96"/>
      <c r="E1" s="96" t="s">
        <v>138</v>
      </c>
    </row>
    <row r="2" spans="1:4" ht="12.75">
      <c r="A2" s="593"/>
      <c r="B2" s="593"/>
      <c r="C2" s="593"/>
      <c r="D2" s="593"/>
    </row>
    <row r="3" spans="1:5" ht="15.75" customHeight="1">
      <c r="A3" s="583" t="s">
        <v>319</v>
      </c>
      <c r="B3" s="583"/>
      <c r="C3" s="583"/>
      <c r="D3" s="583"/>
      <c r="E3" s="583"/>
    </row>
    <row r="4" spans="1:5" s="464" customFormat="1" ht="12.75" customHeight="1">
      <c r="A4" s="583"/>
      <c r="B4" s="583"/>
      <c r="C4" s="583"/>
      <c r="D4" s="583"/>
      <c r="E4" s="583"/>
    </row>
    <row r="5" spans="1:5" s="464" customFormat="1" ht="12.75" customHeight="1">
      <c r="A5" s="462"/>
      <c r="B5" s="462"/>
      <c r="C5" s="462"/>
      <c r="D5" s="462"/>
      <c r="E5" s="462"/>
    </row>
    <row r="6" spans="1:5" ht="12.75" customHeight="1">
      <c r="A6" s="462"/>
      <c r="B6" s="462"/>
      <c r="C6" s="462"/>
      <c r="D6" s="462"/>
      <c r="E6" s="463" t="s">
        <v>1</v>
      </c>
    </row>
    <row r="7" spans="1:5" ht="12.75">
      <c r="A7" s="597" t="s">
        <v>3</v>
      </c>
      <c r="B7" s="597" t="s">
        <v>145</v>
      </c>
      <c r="C7" s="597" t="s">
        <v>157</v>
      </c>
      <c r="D7" s="597" t="s">
        <v>160</v>
      </c>
      <c r="E7" s="597" t="s">
        <v>46</v>
      </c>
    </row>
    <row r="8" spans="1:5" ht="33" customHeight="1">
      <c r="A8" s="598"/>
      <c r="B8" s="598"/>
      <c r="C8" s="598"/>
      <c r="D8" s="598"/>
      <c r="E8" s="598"/>
    </row>
    <row r="9" spans="1:5" ht="12.75" customHeight="1">
      <c r="A9" s="452" t="s">
        <v>282</v>
      </c>
      <c r="B9" s="449" t="s">
        <v>284</v>
      </c>
      <c r="C9" s="450">
        <v>84000000</v>
      </c>
      <c r="D9" s="450">
        <v>3683333333</v>
      </c>
      <c r="E9" s="450">
        <f>C9+D9</f>
        <v>3767333333</v>
      </c>
    </row>
    <row r="10" spans="1:5" ht="30" customHeight="1">
      <c r="A10" s="600" t="s">
        <v>297</v>
      </c>
      <c r="B10" s="459" t="s">
        <v>298</v>
      </c>
      <c r="C10" s="460">
        <v>33750000</v>
      </c>
      <c r="D10" s="460">
        <v>11250000</v>
      </c>
      <c r="E10" s="460">
        <f t="shared" si="0" ref="E10:E20">C10+D10</f>
        <v>45000000</v>
      </c>
    </row>
    <row r="11" spans="1:5" ht="12.75">
      <c r="A11" s="601"/>
      <c r="B11" s="461" t="s">
        <v>242</v>
      </c>
      <c r="C11" s="440">
        <v>551744338</v>
      </c>
      <c r="D11" s="440">
        <v>6500000000</v>
      </c>
      <c r="E11" s="440">
        <f t="shared" si="0"/>
        <v>7051744338</v>
      </c>
    </row>
    <row r="12" spans="1:5" ht="15.75" customHeight="1">
      <c r="A12" s="602"/>
      <c r="B12" s="461" t="s">
        <v>268</v>
      </c>
      <c r="C12" s="440">
        <v>4055000</v>
      </c>
      <c r="D12" s="440">
        <v>220863</v>
      </c>
      <c r="E12" s="440">
        <f t="shared" si="0"/>
        <v>4275863</v>
      </c>
    </row>
    <row r="13" spans="1:5" ht="18.75" customHeight="1">
      <c r="A13" s="603" t="s">
        <v>245</v>
      </c>
      <c r="B13" s="578"/>
      <c r="C13" s="441">
        <v>589549338</v>
      </c>
      <c r="D13" s="441">
        <v>6511470863</v>
      </c>
      <c r="E13" s="441">
        <f t="shared" si="0"/>
        <v>7101020201</v>
      </c>
    </row>
    <row r="14" spans="1:5" ht="13.5" customHeight="1">
      <c r="A14" s="452" t="s">
        <v>311</v>
      </c>
      <c r="B14" s="453" t="s">
        <v>268</v>
      </c>
      <c r="C14" s="443">
        <v>659300</v>
      </c>
      <c r="D14" s="443">
        <v>1192825</v>
      </c>
      <c r="E14" s="443">
        <f t="shared" si="0"/>
        <v>1852125</v>
      </c>
    </row>
    <row r="15" spans="1:5" ht="13.5" customHeight="1">
      <c r="A15" s="600" t="s">
        <v>312</v>
      </c>
      <c r="B15" s="439" t="s">
        <v>315</v>
      </c>
      <c r="C15" s="440">
        <v>60044402</v>
      </c>
      <c r="D15" s="440">
        <v>342051611</v>
      </c>
      <c r="E15" s="440">
        <f t="shared" si="0"/>
        <v>402096013</v>
      </c>
    </row>
    <row r="16" spans="1:5" ht="13.5" customHeight="1">
      <c r="A16" s="601"/>
      <c r="B16" s="439" t="s">
        <v>243</v>
      </c>
      <c r="C16" s="440">
        <v>4493058</v>
      </c>
      <c r="D16" s="440">
        <v>18985323</v>
      </c>
      <c r="E16" s="440">
        <f t="shared" si="0"/>
        <v>23478381</v>
      </c>
    </row>
    <row r="17" spans="1:5" ht="13.5" customHeight="1">
      <c r="A17" s="601"/>
      <c r="B17" s="439" t="s">
        <v>244</v>
      </c>
      <c r="C17" s="440">
        <v>1121998</v>
      </c>
      <c r="D17" s="440">
        <v>6357985</v>
      </c>
      <c r="E17" s="440">
        <f t="shared" si="0"/>
        <v>7479983</v>
      </c>
    </row>
    <row r="18" spans="1:5" ht="13.5" customHeight="1">
      <c r="A18" s="602"/>
      <c r="B18" s="439" t="s">
        <v>268</v>
      </c>
      <c r="C18" s="440">
        <v>0</v>
      </c>
      <c r="D18" s="440">
        <v>7765482</v>
      </c>
      <c r="E18" s="440">
        <f t="shared" si="0"/>
        <v>7765482</v>
      </c>
    </row>
    <row r="19" spans="1:5" ht="13.5" customHeight="1">
      <c r="A19" s="603" t="s">
        <v>245</v>
      </c>
      <c r="B19" s="578"/>
      <c r="C19" s="441">
        <v>65659458</v>
      </c>
      <c r="D19" s="441">
        <v>375160401</v>
      </c>
      <c r="E19" s="441">
        <f t="shared" si="0"/>
        <v>440819859</v>
      </c>
    </row>
    <row r="20" spans="1:5" ht="13.5" customHeight="1">
      <c r="A20" s="599" t="s">
        <v>313</v>
      </c>
      <c r="B20" s="574"/>
      <c r="C20" s="441">
        <v>739868096</v>
      </c>
      <c r="D20" s="441">
        <v>10571157422</v>
      </c>
      <c r="E20" s="441">
        <f t="shared" si="0"/>
        <v>11311025518</v>
      </c>
    </row>
    <row r="21" spans="1:18" ht="15" customHeight="1" hidden="1">
      <c r="A21" s="593"/>
      <c r="B21" s="593"/>
      <c r="C21" s="593"/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</row>
    <row r="23" spans="1:5" ht="12.75">
      <c r="A23" t="s">
        <v>162</v>
      </c>
      <c r="C23" s="180"/>
      <c r="D23" s="180"/>
      <c r="E23" s="180"/>
    </row>
    <row r="24" ht="18.75" customHeight="1"/>
    <row r="25" ht="18.6" customHeight="1"/>
  </sheetData>
  <mergeCells count="14">
    <mergeCell ref="G21:R21"/>
    <mergeCell ref="A2:D2"/>
    <mergeCell ref="A3:E4"/>
    <mergeCell ref="A20:B20"/>
    <mergeCell ref="A21:F21"/>
    <mergeCell ref="A7:A8"/>
    <mergeCell ref="B7:B8"/>
    <mergeCell ref="A15:A18"/>
    <mergeCell ref="A19:B19"/>
    <mergeCell ref="C7:C8"/>
    <mergeCell ref="D7:D8"/>
    <mergeCell ref="E7:E8"/>
    <mergeCell ref="A10:A12"/>
    <mergeCell ref="A13:B13"/>
  </mergeCells>
  <pageMargins left="0.53" right="0.61" top="0.73" bottom="0.65" header="0.4921259845" footer="0.4921259845"/>
  <pageSetup orientation="landscape" paperSize="9" scale="96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"/>
  <sheetViews>
    <sheetView workbookViewId="0" topLeftCell="A1">
      <selection pane="topLeft" activeCell="K17" sqref="K17"/>
    </sheetView>
  </sheetViews>
  <sheetFormatPr defaultColWidth="10.6640625" defaultRowHeight="12.75"/>
  <cols>
    <col min="1" max="1" width="76.1428571428571" style="63" customWidth="1"/>
    <col min="2" max="2" width="19.8571428571429" style="63" customWidth="1"/>
    <col min="3" max="3" width="18.2857142857143" style="63" bestFit="1" customWidth="1"/>
    <col min="4" max="4" width="19.5714285714286" style="63" customWidth="1"/>
    <col min="5" max="5" width="16.8571428571429" style="63" bestFit="1" customWidth="1"/>
    <col min="6" max="6" width="18" style="63" customWidth="1"/>
    <col min="7" max="7" width="18.2857142857143" style="63" bestFit="1" customWidth="1"/>
    <col min="8" max="8" width="16.5714285714286" style="63" customWidth="1"/>
    <col min="9" max="11" width="10.7142857142857" style="63"/>
    <col min="12" max="12" width="14.8571428571429" style="63" customWidth="1"/>
    <col min="13" max="16384" width="10.7142857142857" style="63"/>
  </cols>
  <sheetData>
    <row r="1" spans="5:8" ht="15.75">
      <c r="E1" s="349"/>
      <c r="F1" s="350"/>
      <c r="G1" s="351"/>
      <c r="H1" s="500" t="s">
        <v>136</v>
      </c>
    </row>
    <row r="3" spans="1:9" ht="18.75">
      <c r="A3" s="604" t="s">
        <v>323</v>
      </c>
      <c r="B3" s="604"/>
      <c r="C3" s="604"/>
      <c r="D3" s="604"/>
      <c r="E3" s="604"/>
      <c r="F3" s="604"/>
      <c r="G3" s="604"/>
      <c r="H3" s="604"/>
      <c r="I3" s="430"/>
    </row>
    <row r="5" ht="15.75">
      <c r="A5" s="352"/>
    </row>
    <row r="6" ht="12.75">
      <c r="A6" s="157"/>
    </row>
    <row r="7" spans="1:8" ht="14.25" thickBot="1">
      <c r="A7" s="158"/>
      <c r="H7" s="242" t="s">
        <v>1</v>
      </c>
    </row>
    <row r="8" spans="1:8" ht="51.75" thickBot="1">
      <c r="A8" s="159" t="s">
        <v>324</v>
      </c>
      <c r="B8" s="160" t="s">
        <v>46</v>
      </c>
      <c r="C8" s="161" t="s">
        <v>325</v>
      </c>
      <c r="D8" s="162" t="s">
        <v>326</v>
      </c>
      <c r="E8" s="162" t="s">
        <v>327</v>
      </c>
      <c r="F8" s="162" t="s">
        <v>328</v>
      </c>
      <c r="G8" s="162" t="s">
        <v>329</v>
      </c>
      <c r="H8" s="162" t="s">
        <v>330</v>
      </c>
    </row>
    <row r="9" spans="1:8" ht="13.5" thickTop="1">
      <c r="A9" s="64" t="s">
        <v>331</v>
      </c>
      <c r="B9" s="467">
        <f>SUM(C9:H9)</f>
        <v>76640632253</v>
      </c>
      <c r="C9" s="171">
        <f>C10+C11+C15</f>
        <v>65496331000</v>
      </c>
      <c r="D9" s="163">
        <f>D10+D11+D15</f>
        <v>7295739000</v>
      </c>
      <c r="E9" s="163">
        <f t="shared" si="0" ref="E9:H9">E10+E11+E15</f>
        <v>1234562253</v>
      </c>
      <c r="F9" s="163">
        <f t="shared" si="0"/>
        <v>67300000</v>
      </c>
      <c r="G9" s="163">
        <f t="shared" si="0"/>
        <v>944000000</v>
      </c>
      <c r="H9" s="163">
        <f t="shared" si="0"/>
        <v>1602700000</v>
      </c>
    </row>
    <row r="10" spans="1:8" ht="13.5" customHeight="1">
      <c r="A10" s="183" t="s">
        <v>332</v>
      </c>
      <c r="B10" s="468">
        <f t="shared" si="1" ref="B10:B28">SUM(C10:H10)</f>
        <v>23204800000</v>
      </c>
      <c r="C10" s="184">
        <f>19900000000+200000000+2000000000</f>
        <v>22100000000</v>
      </c>
      <c r="D10" s="185">
        <v>226800000</v>
      </c>
      <c r="E10" s="185">
        <f>188000000+2000000</f>
        <v>190000000</v>
      </c>
      <c r="F10" s="185"/>
      <c r="G10" s="185"/>
      <c r="H10" s="185">
        <f>718000000-30000000</f>
        <v>688000000</v>
      </c>
    </row>
    <row r="11" spans="1:8" ht="13.5" customHeight="1">
      <c r="A11" s="183" t="s">
        <v>333</v>
      </c>
      <c r="B11" s="468">
        <f t="shared" si="1"/>
        <v>13820800000</v>
      </c>
      <c r="C11" s="184">
        <f>C12+C13+C14</f>
        <v>12500000000</v>
      </c>
      <c r="D11" s="185">
        <f t="shared" si="2" ref="D11">D12+D13+D14</f>
        <v>0</v>
      </c>
      <c r="E11" s="185">
        <v>51700000</v>
      </c>
      <c r="F11" s="185">
        <v>35400000</v>
      </c>
      <c r="G11" s="185">
        <v>839000000</v>
      </c>
      <c r="H11" s="185">
        <f>474700000-80000000</f>
        <v>394700000</v>
      </c>
    </row>
    <row r="12" spans="1:8" ht="13.5" customHeight="1">
      <c r="A12" s="183" t="s">
        <v>334</v>
      </c>
      <c r="B12" s="468">
        <f t="shared" si="1"/>
        <v>0</v>
      </c>
      <c r="C12" s="184"/>
      <c r="D12" s="185"/>
      <c r="E12" s="185"/>
      <c r="F12" s="185"/>
      <c r="G12" s="185"/>
      <c r="H12" s="185"/>
    </row>
    <row r="13" spans="1:8" ht="13.5" customHeight="1">
      <c r="A13" s="183" t="s">
        <v>335</v>
      </c>
      <c r="B13" s="468">
        <f t="shared" si="1"/>
        <v>913800000</v>
      </c>
      <c r="C13" s="184"/>
      <c r="D13" s="185"/>
      <c r="E13" s="185"/>
      <c r="F13" s="185"/>
      <c r="G13" s="185">
        <v>740000000</v>
      </c>
      <c r="H13" s="185">
        <f>167000000+6800000</f>
        <v>173800000</v>
      </c>
    </row>
    <row r="14" spans="1:8" ht="13.5" customHeight="1">
      <c r="A14" s="183" t="s">
        <v>336</v>
      </c>
      <c r="B14" s="468">
        <f t="shared" si="1"/>
        <v>12500000000</v>
      </c>
      <c r="C14" s="184">
        <f>14400000000-1900000000</f>
        <v>12500000000</v>
      </c>
      <c r="D14" s="185"/>
      <c r="E14" s="185"/>
      <c r="F14" s="185"/>
      <c r="G14" s="185"/>
      <c r="H14" s="185"/>
    </row>
    <row r="15" spans="1:8" ht="13.5" customHeight="1">
      <c r="A15" s="247" t="s">
        <v>337</v>
      </c>
      <c r="B15" s="469">
        <f t="shared" si="1"/>
        <v>39615032253</v>
      </c>
      <c r="C15" s="249">
        <f>SUM(C16:C25)</f>
        <v>30896331000</v>
      </c>
      <c r="D15" s="248">
        <f>SUM(D16:D25)</f>
        <v>7068939000</v>
      </c>
      <c r="E15" s="248">
        <f t="shared" si="3" ref="E15:H15">SUM(E16:E25)</f>
        <v>992862253</v>
      </c>
      <c r="F15" s="248">
        <f t="shared" si="3"/>
        <v>31900000</v>
      </c>
      <c r="G15" s="248">
        <f t="shared" si="3"/>
        <v>105000000</v>
      </c>
      <c r="H15" s="248">
        <f t="shared" si="3"/>
        <v>520000000</v>
      </c>
    </row>
    <row r="16" spans="1:8" ht="12.75">
      <c r="A16" s="183" t="s">
        <v>338</v>
      </c>
      <c r="B16" s="468">
        <f t="shared" si="1"/>
        <v>5268939000</v>
      </c>
      <c r="C16" s="184"/>
      <c r="D16" s="185">
        <v>5268939000</v>
      </c>
      <c r="E16" s="185"/>
      <c r="F16" s="185"/>
      <c r="G16" s="185"/>
      <c r="H16" s="185"/>
    </row>
    <row r="17" spans="1:8" ht="12.75" customHeight="1">
      <c r="A17" s="186" t="s">
        <v>339</v>
      </c>
      <c r="B17" s="468">
        <f t="shared" si="1"/>
        <v>0</v>
      </c>
      <c r="C17" s="184"/>
      <c r="D17" s="185"/>
      <c r="E17" s="185"/>
      <c r="F17" s="185"/>
      <c r="G17" s="185"/>
      <c r="H17" s="185"/>
    </row>
    <row r="18" spans="1:8" ht="12.75" customHeight="1">
      <c r="A18" s="186" t="s">
        <v>340</v>
      </c>
      <c r="B18" s="468">
        <f t="shared" si="1"/>
        <v>1136001000</v>
      </c>
      <c r="C18" s="184">
        <v>1136001000</v>
      </c>
      <c r="D18" s="185"/>
      <c r="E18" s="185"/>
      <c r="F18" s="185"/>
      <c r="G18" s="185"/>
      <c r="H18" s="185"/>
    </row>
    <row r="19" spans="1:8" ht="25.5" customHeight="1">
      <c r="A19" s="470" t="s">
        <v>341</v>
      </c>
      <c r="B19" s="468">
        <f t="shared" si="1"/>
        <v>290000000</v>
      </c>
      <c r="C19" s="184"/>
      <c r="D19" s="185"/>
      <c r="E19" s="185"/>
      <c r="F19" s="185"/>
      <c r="G19" s="185"/>
      <c r="H19" s="185">
        <v>290000000</v>
      </c>
    </row>
    <row r="20" spans="1:8" ht="25.5" customHeight="1">
      <c r="A20" s="470" t="s">
        <v>342</v>
      </c>
      <c r="B20" s="468">
        <f t="shared" si="1"/>
        <v>120000000</v>
      </c>
      <c r="C20" s="184"/>
      <c r="D20" s="185"/>
      <c r="E20" s="185"/>
      <c r="F20" s="185"/>
      <c r="G20" s="185"/>
      <c r="H20" s="185">
        <v>120000000</v>
      </c>
    </row>
    <row r="21" spans="1:8" ht="12.75">
      <c r="A21" s="470" t="s">
        <v>343</v>
      </c>
      <c r="B21" s="468">
        <f t="shared" si="1"/>
        <v>110000000</v>
      </c>
      <c r="C21" s="184"/>
      <c r="D21" s="185"/>
      <c r="E21" s="185"/>
      <c r="F21" s="185"/>
      <c r="G21" s="185"/>
      <c r="H21" s="185">
        <v>110000000</v>
      </c>
    </row>
    <row r="22" spans="1:8" ht="12.75">
      <c r="A22" s="186" t="s">
        <v>344</v>
      </c>
      <c r="B22" s="468">
        <f t="shared" si="1"/>
        <v>105000000</v>
      </c>
      <c r="C22" s="184"/>
      <c r="D22" s="185"/>
      <c r="E22" s="185"/>
      <c r="F22" s="185"/>
      <c r="G22" s="185">
        <v>105000000</v>
      </c>
      <c r="H22" s="185"/>
    </row>
    <row r="23" spans="1:8" ht="12.75">
      <c r="A23" s="186" t="s">
        <v>345</v>
      </c>
      <c r="B23" s="468">
        <f t="shared" si="1"/>
        <v>994762253</v>
      </c>
      <c r="C23" s="184"/>
      <c r="D23" s="185"/>
      <c r="E23" s="185">
        <f>987400000+10400000-4937747</f>
        <v>992862253</v>
      </c>
      <c r="F23" s="185">
        <v>1900000</v>
      </c>
      <c r="G23" s="185"/>
      <c r="H23" s="185"/>
    </row>
    <row r="24" spans="1:8" ht="12.75">
      <c r="A24" s="186" t="s">
        <v>346</v>
      </c>
      <c r="B24" s="468">
        <f t="shared" si="1"/>
        <v>30000000</v>
      </c>
      <c r="C24" s="184"/>
      <c r="D24" s="185"/>
      <c r="E24" s="185"/>
      <c r="F24" s="185">
        <v>30000000</v>
      </c>
      <c r="G24" s="185"/>
      <c r="H24" s="185"/>
    </row>
    <row r="25" spans="1:8" ht="13.5" thickBot="1">
      <c r="A25" s="183" t="s">
        <v>347</v>
      </c>
      <c r="B25" s="468">
        <f t="shared" si="1"/>
        <v>31560330000</v>
      </c>
      <c r="C25" s="184">
        <f>31196331000-200000000+1900000000-1136001000-2000000000</f>
        <v>29760330000</v>
      </c>
      <c r="D25" s="185">
        <v>1800000000</v>
      </c>
      <c r="E25" s="185"/>
      <c r="F25" s="185"/>
      <c r="G25" s="185"/>
      <c r="H25" s="185"/>
    </row>
    <row r="26" spans="1:8" ht="12.75">
      <c r="A26" s="66" t="s">
        <v>348</v>
      </c>
      <c r="B26" s="471">
        <f t="shared" si="1"/>
        <v>79345612253</v>
      </c>
      <c r="C26" s="164">
        <v>65496331000</v>
      </c>
      <c r="D26" s="165">
        <v>7295739000</v>
      </c>
      <c r="E26" s="165">
        <f>1227100000+10400000+2000000-4937747</f>
        <v>1234562253</v>
      </c>
      <c r="F26" s="165">
        <v>57480000</v>
      </c>
      <c r="G26" s="165">
        <v>2678500000</v>
      </c>
      <c r="H26" s="165">
        <v>2583000000</v>
      </c>
    </row>
    <row r="27" spans="1:8" ht="13.5" thickBot="1">
      <c r="A27" s="187" t="s">
        <v>349</v>
      </c>
      <c r="B27" s="472">
        <f t="shared" si="1"/>
        <v>489000000</v>
      </c>
      <c r="C27" s="166"/>
      <c r="D27" s="167"/>
      <c r="E27" s="167"/>
      <c r="F27" s="167"/>
      <c r="G27" s="168"/>
      <c r="H27" s="168">
        <v>489000000</v>
      </c>
    </row>
    <row r="28" spans="1:8" ht="13.5" thickBot="1">
      <c r="A28" s="67" t="s">
        <v>350</v>
      </c>
      <c r="B28" s="473">
        <f t="shared" si="1"/>
        <v>-2704980000</v>
      </c>
      <c r="C28" s="169">
        <f>C9-C26</f>
        <v>0</v>
      </c>
      <c r="D28" s="170">
        <f>D9-D26</f>
        <v>0</v>
      </c>
      <c r="E28" s="170">
        <f t="shared" si="4" ref="E28:H28">E9-E26</f>
        <v>0</v>
      </c>
      <c r="F28" s="170">
        <f t="shared" si="4"/>
        <v>9820000</v>
      </c>
      <c r="G28" s="170">
        <f t="shared" si="4"/>
        <v>-1734500000</v>
      </c>
      <c r="H28" s="170">
        <f t="shared" si="4"/>
        <v>-980300000</v>
      </c>
    </row>
    <row r="29" spans="1:8" ht="12.75">
      <c r="A29" s="275"/>
      <c r="B29" s="276"/>
      <c r="C29" s="276"/>
      <c r="D29" s="276"/>
      <c r="E29" s="276"/>
      <c r="F29" s="276"/>
      <c r="G29" s="276"/>
      <c r="H29" s="276"/>
    </row>
    <row r="30" spans="3:5" ht="12.75">
      <c r="C30" s="65"/>
      <c r="D30" s="65"/>
      <c r="E30" s="65"/>
    </row>
    <row r="31" ht="12.75">
      <c r="C31" s="65"/>
    </row>
    <row r="32" ht="12.75">
      <c r="C32" s="65"/>
    </row>
    <row r="33" spans="3:5" ht="12.75">
      <c r="C33" s="65"/>
      <c r="E33" s="65"/>
    </row>
    <row r="34" ht="12.75">
      <c r="E34" s="65"/>
    </row>
    <row r="35" spans="3:5" ht="12.75">
      <c r="C35" s="65"/>
      <c r="E35" s="65"/>
    </row>
    <row r="36" spans="3:5" ht="12.75">
      <c r="C36" s="65"/>
      <c r="E36" s="65"/>
    </row>
    <row r="37" ht="12.75">
      <c r="E37" s="65"/>
    </row>
    <row r="39" spans="4:5" ht="12.75">
      <c r="D39" s="65"/>
      <c r="E39" s="65"/>
    </row>
    <row r="40" ht="12.75">
      <c r="E40" s="65"/>
    </row>
  </sheetData>
  <mergeCells count="1">
    <mergeCell ref="A3:H3"/>
  </mergeCells>
  <pageMargins left="0.51" right="0.44" top="0.69" bottom="0.57" header="0.4921259845" footer="0.3"/>
  <pageSetup orientation="landscape" paperSize="9" scale="7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workbookViewId="0" topLeftCell="A1">
      <selection pane="topLeft" activeCell="J10" sqref="J10"/>
    </sheetView>
  </sheetViews>
  <sheetFormatPr defaultColWidth="10.6640625" defaultRowHeight="12.75"/>
  <cols>
    <col min="1" max="1" width="76.1428571428571" style="63" customWidth="1"/>
    <col min="2" max="2" width="19.8571428571429" style="63" customWidth="1"/>
    <col min="3" max="4" width="18.2857142857143" style="63" bestFit="1" customWidth="1"/>
    <col min="5" max="5" width="16.8571428571429" style="63" bestFit="1" customWidth="1"/>
    <col min="6" max="6" width="18" style="63" customWidth="1"/>
    <col min="7" max="7" width="18.2857142857143" style="63" bestFit="1" customWidth="1"/>
    <col min="8" max="8" width="16.5714285714286" style="63" customWidth="1"/>
    <col min="9" max="11" width="10.7142857142857" style="63"/>
    <col min="12" max="12" width="14.8571428571429" style="63" customWidth="1"/>
    <col min="13" max="16384" width="10.7142857142857" style="63"/>
  </cols>
  <sheetData>
    <row r="1" spans="5:8" ht="15.75">
      <c r="E1" s="349"/>
      <c r="F1" s="350"/>
      <c r="G1" s="351"/>
      <c r="H1" s="500" t="s">
        <v>137</v>
      </c>
    </row>
    <row r="3" spans="1:9" ht="18.75">
      <c r="A3" s="604" t="s">
        <v>351</v>
      </c>
      <c r="B3" s="604"/>
      <c r="C3" s="604"/>
      <c r="D3" s="604"/>
      <c r="E3" s="604"/>
      <c r="F3" s="604"/>
      <c r="G3" s="604"/>
      <c r="H3" s="604"/>
      <c r="I3" s="430"/>
    </row>
    <row r="5" ht="15.75">
      <c r="A5" s="352"/>
    </row>
    <row r="6" ht="12.75">
      <c r="A6" s="157"/>
    </row>
    <row r="7" spans="1:8" ht="14.25" thickBot="1">
      <c r="A7" s="158"/>
      <c r="H7" s="242" t="s">
        <v>1</v>
      </c>
    </row>
    <row r="8" spans="1:8" ht="51.75" thickBot="1">
      <c r="A8" s="159" t="s">
        <v>324</v>
      </c>
      <c r="B8" s="160" t="s">
        <v>46</v>
      </c>
      <c r="C8" s="161" t="s">
        <v>325</v>
      </c>
      <c r="D8" s="162" t="s">
        <v>326</v>
      </c>
      <c r="E8" s="162" t="s">
        <v>327</v>
      </c>
      <c r="F8" s="162" t="s">
        <v>328</v>
      </c>
      <c r="G8" s="162" t="s">
        <v>329</v>
      </c>
      <c r="H8" s="162" t="s">
        <v>330</v>
      </c>
    </row>
    <row r="9" spans="1:8" ht="13.5" thickTop="1">
      <c r="A9" s="64" t="s">
        <v>331</v>
      </c>
      <c r="B9" s="467">
        <f>SUM(C9:H9)</f>
        <v>77006139000</v>
      </c>
      <c r="C9" s="171">
        <f>C10+C11+C15</f>
        <v>65700000000</v>
      </c>
      <c r="D9" s="163">
        <f t="shared" si="0" ref="D9:H9">D10+D11+D15</f>
        <v>7241539000</v>
      </c>
      <c r="E9" s="163">
        <f t="shared" si="0"/>
        <v>1234100000</v>
      </c>
      <c r="F9" s="163">
        <f t="shared" si="0"/>
        <v>67300000</v>
      </c>
      <c r="G9" s="163">
        <f t="shared" si="0"/>
        <v>1004000000</v>
      </c>
      <c r="H9" s="163">
        <f t="shared" si="0"/>
        <v>1759200000</v>
      </c>
    </row>
    <row r="10" spans="1:8" ht="12.75">
      <c r="A10" s="183" t="s">
        <v>332</v>
      </c>
      <c r="B10" s="468">
        <f t="shared" si="1" ref="B10:B28">SUM(C10:H10)</f>
        <v>23168000000</v>
      </c>
      <c r="C10" s="184">
        <f>20000000000+300000000+2000000000</f>
        <v>22300000000</v>
      </c>
      <c r="D10" s="185"/>
      <c r="E10" s="185">
        <v>190000000</v>
      </c>
      <c r="F10" s="185"/>
      <c r="G10" s="185"/>
      <c r="H10" s="185">
        <v>678000000</v>
      </c>
    </row>
    <row r="11" spans="1:8" ht="12.75">
      <c r="A11" s="183" t="s">
        <v>333</v>
      </c>
      <c r="B11" s="468">
        <f t="shared" si="1"/>
        <v>16128100000</v>
      </c>
      <c r="C11" s="184">
        <f>C12+C13+C14</f>
        <v>14400000000</v>
      </c>
      <c r="D11" s="185">
        <v>226800000</v>
      </c>
      <c r="E11" s="185">
        <v>51700000</v>
      </c>
      <c r="F11" s="185">
        <v>35400000</v>
      </c>
      <c r="G11" s="185">
        <v>895000000</v>
      </c>
      <c r="H11" s="185">
        <v>519200000</v>
      </c>
    </row>
    <row r="12" spans="1:8" ht="12.75">
      <c r="A12" s="183" t="s">
        <v>334</v>
      </c>
      <c r="B12" s="468">
        <f t="shared" si="1"/>
        <v>0</v>
      </c>
      <c r="C12" s="184"/>
      <c r="D12" s="185"/>
      <c r="E12" s="185"/>
      <c r="F12" s="185"/>
      <c r="G12" s="185"/>
      <c r="H12" s="185"/>
    </row>
    <row r="13" spans="1:8" ht="12.75">
      <c r="A13" s="183" t="s">
        <v>335</v>
      </c>
      <c r="B13" s="468">
        <f t="shared" si="1"/>
        <v>2939000000</v>
      </c>
      <c r="C13" s="184"/>
      <c r="D13" s="185"/>
      <c r="E13" s="185"/>
      <c r="F13" s="185"/>
      <c r="G13" s="185">
        <v>786000000</v>
      </c>
      <c r="H13" s="185">
        <v>2153000000</v>
      </c>
    </row>
    <row r="14" spans="1:8" ht="12.75">
      <c r="A14" s="183" t="s">
        <v>336</v>
      </c>
      <c r="B14" s="468">
        <f t="shared" si="1"/>
        <v>14400000000</v>
      </c>
      <c r="C14" s="184">
        <f>14400000000</f>
        <v>14400000000</v>
      </c>
      <c r="D14" s="185"/>
      <c r="E14" s="185"/>
      <c r="F14" s="185"/>
      <c r="G14" s="185"/>
      <c r="H14" s="185"/>
    </row>
    <row r="15" spans="1:8" ht="12.75">
      <c r="A15" s="247" t="s">
        <v>337</v>
      </c>
      <c r="B15" s="469">
        <f t="shared" si="1"/>
        <v>37710039000</v>
      </c>
      <c r="C15" s="249">
        <f>SUM(C16:C25)</f>
        <v>29000000000</v>
      </c>
      <c r="D15" s="248">
        <f t="shared" si="2" ref="D15:H15">SUM(D16:D25)</f>
        <v>7014739000</v>
      </c>
      <c r="E15" s="248">
        <f t="shared" si="2"/>
        <v>992400000</v>
      </c>
      <c r="F15" s="248">
        <f t="shared" si="2"/>
        <v>31900000</v>
      </c>
      <c r="G15" s="248">
        <f t="shared" si="2"/>
        <v>109000000</v>
      </c>
      <c r="H15" s="248">
        <f t="shared" si="2"/>
        <v>562000000</v>
      </c>
    </row>
    <row r="16" spans="1:8" ht="12.75">
      <c r="A16" s="183" t="s">
        <v>338</v>
      </c>
      <c r="B16" s="468">
        <f t="shared" si="1"/>
        <v>5214739000</v>
      </c>
      <c r="C16" s="184"/>
      <c r="D16" s="185">
        <v>5214739000</v>
      </c>
      <c r="E16" s="185"/>
      <c r="F16" s="185"/>
      <c r="G16" s="185"/>
      <c r="H16" s="185"/>
    </row>
    <row r="17" spans="1:8" ht="12.75">
      <c r="A17" s="186" t="s">
        <v>339</v>
      </c>
      <c r="B17" s="468">
        <f t="shared" si="1"/>
        <v>0</v>
      </c>
      <c r="C17" s="184"/>
      <c r="D17" s="185"/>
      <c r="E17" s="185"/>
      <c r="F17" s="185"/>
      <c r="G17" s="185"/>
      <c r="H17" s="185"/>
    </row>
    <row r="18" spans="1:8" ht="12.75">
      <c r="A18" s="186" t="s">
        <v>340</v>
      </c>
      <c r="B18" s="468">
        <f t="shared" si="1"/>
        <v>3780265000</v>
      </c>
      <c r="C18" s="184">
        <v>3780265000</v>
      </c>
      <c r="D18" s="185"/>
      <c r="E18" s="185"/>
      <c r="F18" s="185"/>
      <c r="G18" s="185"/>
      <c r="H18" s="185"/>
    </row>
    <row r="19" spans="1:8" ht="12.75">
      <c r="A19" s="470" t="s">
        <v>341</v>
      </c>
      <c r="B19" s="468">
        <f t="shared" si="1"/>
        <v>260000000</v>
      </c>
      <c r="C19" s="184"/>
      <c r="D19" s="185"/>
      <c r="E19" s="185"/>
      <c r="F19" s="185"/>
      <c r="G19" s="185"/>
      <c r="H19" s="185">
        <v>260000000</v>
      </c>
    </row>
    <row r="20" spans="1:8" ht="25.5">
      <c r="A20" s="470" t="s">
        <v>342</v>
      </c>
      <c r="B20" s="468">
        <f t="shared" si="1"/>
        <v>120000000</v>
      </c>
      <c r="C20" s="184"/>
      <c r="D20" s="185"/>
      <c r="E20" s="185"/>
      <c r="F20" s="185"/>
      <c r="G20" s="185"/>
      <c r="H20" s="185">
        <v>120000000</v>
      </c>
    </row>
    <row r="21" spans="1:8" ht="12.75">
      <c r="A21" s="470" t="s">
        <v>343</v>
      </c>
      <c r="B21" s="468">
        <f t="shared" si="1"/>
        <v>182000000</v>
      </c>
      <c r="C21" s="184"/>
      <c r="D21" s="185"/>
      <c r="E21" s="185"/>
      <c r="F21" s="185"/>
      <c r="G21" s="185"/>
      <c r="H21" s="185">
        <v>182000000</v>
      </c>
    </row>
    <row r="22" spans="1:8" ht="12.75">
      <c r="A22" s="186" t="s">
        <v>344</v>
      </c>
      <c r="B22" s="468">
        <f t="shared" si="1"/>
        <v>109000000</v>
      </c>
      <c r="C22" s="184"/>
      <c r="D22" s="185"/>
      <c r="E22" s="185"/>
      <c r="F22" s="185"/>
      <c r="G22" s="185">
        <v>109000000</v>
      </c>
      <c r="H22" s="185"/>
    </row>
    <row r="23" spans="1:8" ht="12.75">
      <c r="A23" s="186" t="s">
        <v>345</v>
      </c>
      <c r="B23" s="468">
        <f t="shared" si="1"/>
        <v>994300000</v>
      </c>
      <c r="C23" s="184"/>
      <c r="D23" s="185"/>
      <c r="E23" s="185">
        <v>992400000</v>
      </c>
      <c r="F23" s="185">
        <v>1900000</v>
      </c>
      <c r="G23" s="185"/>
      <c r="H23" s="185"/>
    </row>
    <row r="24" spans="1:8" ht="12.75">
      <c r="A24" s="186" t="s">
        <v>346</v>
      </c>
      <c r="B24" s="468">
        <f t="shared" si="1"/>
        <v>30000000</v>
      </c>
      <c r="C24" s="184"/>
      <c r="D24" s="185"/>
      <c r="E24" s="185"/>
      <c r="F24" s="185">
        <v>30000000</v>
      </c>
      <c r="G24" s="185"/>
      <c r="H24" s="185"/>
    </row>
    <row r="25" spans="1:8" ht="13.5" thickBot="1">
      <c r="A25" s="183" t="s">
        <v>347</v>
      </c>
      <c r="B25" s="468">
        <f t="shared" si="1"/>
        <v>27019735000</v>
      </c>
      <c r="C25" s="184">
        <f>31300000000-3780265000-300000000-2000000000</f>
        <v>25219735000</v>
      </c>
      <c r="D25" s="185">
        <v>1800000000</v>
      </c>
      <c r="E25" s="185"/>
      <c r="F25" s="185"/>
      <c r="G25" s="185"/>
      <c r="H25" s="185"/>
    </row>
    <row r="26" spans="1:8" ht="12.75">
      <c r="A26" s="66" t="s">
        <v>348</v>
      </c>
      <c r="B26" s="471">
        <f t="shared" si="1"/>
        <v>80162119000</v>
      </c>
      <c r="C26" s="164">
        <v>65700000000</v>
      </c>
      <c r="D26" s="165">
        <v>7241539000</v>
      </c>
      <c r="E26" s="165">
        <f>1239500000-5400000</f>
        <v>1234100000</v>
      </c>
      <c r="F26" s="165">
        <v>57480000</v>
      </c>
      <c r="G26" s="165">
        <v>2595000000</v>
      </c>
      <c r="H26" s="165">
        <v>3334000000</v>
      </c>
    </row>
    <row r="27" spans="1:8" ht="13.5" thickBot="1">
      <c r="A27" s="187" t="s">
        <v>349</v>
      </c>
      <c r="B27" s="472">
        <f t="shared" si="1"/>
        <v>1921000000</v>
      </c>
      <c r="C27" s="166"/>
      <c r="D27" s="167"/>
      <c r="E27" s="167"/>
      <c r="F27" s="167"/>
      <c r="G27" s="168">
        <v>1600000000</v>
      </c>
      <c r="H27" s="168">
        <v>321000000</v>
      </c>
    </row>
    <row r="28" spans="1:8" ht="13.5" thickBot="1">
      <c r="A28" s="67" t="s">
        <v>350</v>
      </c>
      <c r="B28" s="473">
        <f t="shared" si="1"/>
        <v>-3155980000</v>
      </c>
      <c r="C28" s="169">
        <f>C9-C26</f>
        <v>0</v>
      </c>
      <c r="D28" s="170">
        <f t="shared" si="3" ref="D28:H28">D9-D26</f>
        <v>0</v>
      </c>
      <c r="E28" s="170">
        <f t="shared" si="3"/>
        <v>0</v>
      </c>
      <c r="F28" s="170">
        <f t="shared" si="3"/>
        <v>9820000</v>
      </c>
      <c r="G28" s="170">
        <f t="shared" si="3"/>
        <v>-1591000000</v>
      </c>
      <c r="H28" s="170">
        <f t="shared" si="3"/>
        <v>-1574800000</v>
      </c>
    </row>
    <row r="29" spans="1:8" ht="12.75">
      <c r="A29" s="275"/>
      <c r="B29" s="276"/>
      <c r="C29" s="276"/>
      <c r="D29" s="276"/>
      <c r="E29" s="276"/>
      <c r="F29" s="276"/>
      <c r="G29" s="276"/>
      <c r="H29" s="276"/>
    </row>
    <row r="30" spans="3:5" ht="12.75">
      <c r="C30" s="65"/>
      <c r="D30" s="65"/>
      <c r="E30" s="65"/>
    </row>
    <row r="31" ht="12.75">
      <c r="C31" s="65"/>
    </row>
    <row r="32" ht="12.75">
      <c r="C32" s="65"/>
    </row>
    <row r="35" ht="12.75">
      <c r="E35" s="65"/>
    </row>
    <row r="36" ht="12.75">
      <c r="E36" s="65"/>
    </row>
    <row r="37" ht="12.75">
      <c r="E37" s="65"/>
    </row>
    <row r="38" ht="12.75">
      <c r="E38" s="65"/>
    </row>
    <row r="39" ht="12.75">
      <c r="E39" s="65"/>
    </row>
    <row r="41" ht="12.75">
      <c r="E41" s="65"/>
    </row>
    <row r="42" ht="12.75">
      <c r="E42" s="65"/>
    </row>
  </sheetData>
  <mergeCells count="1">
    <mergeCell ref="A3:H3"/>
  </mergeCells>
  <pageMargins left="0.57" right="0.53" top="0.62" bottom="0.43" header="0.43" footer="0.27"/>
  <pageSetup orientation="landscape" paperSize="9" scale="74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8"/>
  <sheetViews>
    <sheetView workbookViewId="0" topLeftCell="A1">
      <selection pane="topLeft" activeCell="L27" sqref="L27"/>
    </sheetView>
  </sheetViews>
  <sheetFormatPr defaultColWidth="10.6640625" defaultRowHeight="12.75"/>
  <cols>
    <col min="1" max="1" width="76.1428571428571" style="63" customWidth="1"/>
    <col min="2" max="2" width="19.8571428571429" style="63" customWidth="1"/>
    <col min="3" max="4" width="18.2857142857143" style="63" bestFit="1" customWidth="1"/>
    <col min="5" max="5" width="16.8571428571429" style="63" bestFit="1" customWidth="1"/>
    <col min="6" max="6" width="18" style="63" customWidth="1"/>
    <col min="7" max="7" width="18.2857142857143" style="63" bestFit="1" customWidth="1"/>
    <col min="8" max="8" width="16.5714285714286" style="63" customWidth="1"/>
    <col min="9" max="11" width="10.7142857142857" style="63"/>
    <col min="12" max="12" width="14.8571428571429" style="63" customWidth="1"/>
    <col min="13" max="16384" width="10.7142857142857" style="63"/>
  </cols>
  <sheetData>
    <row r="1" spans="5:8" ht="15.75">
      <c r="E1" s="349"/>
      <c r="F1" s="350"/>
      <c r="G1" s="351"/>
      <c r="H1" s="500" t="s">
        <v>146</v>
      </c>
    </row>
    <row r="3" spans="1:9" ht="18.75">
      <c r="A3" s="604" t="s">
        <v>352</v>
      </c>
      <c r="B3" s="604"/>
      <c r="C3" s="604"/>
      <c r="D3" s="604"/>
      <c r="E3" s="604"/>
      <c r="F3" s="604"/>
      <c r="G3" s="604"/>
      <c r="H3" s="604"/>
      <c r="I3" s="430"/>
    </row>
    <row r="5" ht="15.75">
      <c r="A5" s="352"/>
    </row>
    <row r="6" ht="12.75">
      <c r="A6" s="157"/>
    </row>
    <row r="7" spans="1:8" ht="14.25" thickBot="1">
      <c r="A7" s="158"/>
      <c r="H7" s="242" t="s">
        <v>1</v>
      </c>
    </row>
    <row r="8" spans="1:8" ht="51.75" thickBot="1">
      <c r="A8" s="159" t="s">
        <v>324</v>
      </c>
      <c r="B8" s="160" t="s">
        <v>46</v>
      </c>
      <c r="C8" s="161" t="s">
        <v>325</v>
      </c>
      <c r="D8" s="162" t="s">
        <v>326</v>
      </c>
      <c r="E8" s="162" t="s">
        <v>327</v>
      </c>
      <c r="F8" s="162" t="s">
        <v>328</v>
      </c>
      <c r="G8" s="162" t="s">
        <v>329</v>
      </c>
      <c r="H8" s="162" t="s">
        <v>330</v>
      </c>
    </row>
    <row r="9" spans="1:8" ht="13.5" thickTop="1">
      <c r="A9" s="64" t="s">
        <v>331</v>
      </c>
      <c r="B9" s="467">
        <f>SUM(C9:H9)</f>
        <v>76862539000</v>
      </c>
      <c r="C9" s="171">
        <f>C10+C11+C15</f>
        <v>65700000000</v>
      </c>
      <c r="D9" s="163">
        <f t="shared" si="0" ref="D9:H9">D10+D11+D15</f>
        <v>7241539000</v>
      </c>
      <c r="E9" s="163">
        <f t="shared" si="0"/>
        <v>1234100000</v>
      </c>
      <c r="F9" s="163">
        <f t="shared" si="0"/>
        <v>67300000</v>
      </c>
      <c r="G9" s="163">
        <f t="shared" si="0"/>
        <v>950000000</v>
      </c>
      <c r="H9" s="163">
        <f t="shared" si="0"/>
        <v>1669600000</v>
      </c>
    </row>
    <row r="10" spans="1:8" ht="12.75">
      <c r="A10" s="183" t="s">
        <v>332</v>
      </c>
      <c r="B10" s="468">
        <f t="shared" si="1" ref="B10:B28">SUM(C10:H10)</f>
        <v>23278000000</v>
      </c>
      <c r="C10" s="184">
        <f>20400000000+2000000000</f>
        <v>22400000000</v>
      </c>
      <c r="D10" s="185"/>
      <c r="E10" s="185">
        <v>190000000</v>
      </c>
      <c r="F10" s="185"/>
      <c r="G10" s="185"/>
      <c r="H10" s="185">
        <v>688000000</v>
      </c>
    </row>
    <row r="11" spans="1:8" ht="12.75">
      <c r="A11" s="183" t="s">
        <v>333</v>
      </c>
      <c r="B11" s="468">
        <f t="shared" si="1"/>
        <v>16099500000</v>
      </c>
      <c r="C11" s="184">
        <f>C12+C13+C14</f>
        <v>14400000000</v>
      </c>
      <c r="D11" s="185">
        <v>226800000</v>
      </c>
      <c r="E11" s="185">
        <v>51700000</v>
      </c>
      <c r="F11" s="185">
        <v>35400000</v>
      </c>
      <c r="G11" s="185">
        <v>841000000</v>
      </c>
      <c r="H11" s="185">
        <v>544600000</v>
      </c>
    </row>
    <row r="12" spans="1:8" ht="12.75">
      <c r="A12" s="183" t="s">
        <v>334</v>
      </c>
      <c r="B12" s="468">
        <f t="shared" si="1"/>
        <v>0</v>
      </c>
      <c r="C12" s="184"/>
      <c r="D12" s="185"/>
      <c r="E12" s="185"/>
      <c r="F12" s="185"/>
      <c r="G12" s="185"/>
      <c r="H12" s="185"/>
    </row>
    <row r="13" spans="1:8" ht="12.75">
      <c r="A13" s="183" t="s">
        <v>335</v>
      </c>
      <c r="B13" s="468">
        <f t="shared" si="1"/>
        <v>974300000</v>
      </c>
      <c r="C13" s="184"/>
      <c r="D13" s="185"/>
      <c r="E13" s="185"/>
      <c r="F13" s="185"/>
      <c r="G13" s="185">
        <v>735000000</v>
      </c>
      <c r="H13" s="185">
        <v>239300000</v>
      </c>
    </row>
    <row r="14" spans="1:8" ht="12.75">
      <c r="A14" s="183" t="s">
        <v>336</v>
      </c>
      <c r="B14" s="468">
        <f t="shared" si="1"/>
        <v>14400000000</v>
      </c>
      <c r="C14" s="184">
        <v>14400000000</v>
      </c>
      <c r="D14" s="185"/>
      <c r="E14" s="185"/>
      <c r="F14" s="185"/>
      <c r="G14" s="185"/>
      <c r="H14" s="185"/>
    </row>
    <row r="15" spans="1:8" ht="12.75">
      <c r="A15" s="247" t="s">
        <v>337</v>
      </c>
      <c r="B15" s="469">
        <f t="shared" si="1"/>
        <v>37485039000</v>
      </c>
      <c r="C15" s="249">
        <f>SUM(C16:C25)</f>
        <v>28900000000</v>
      </c>
      <c r="D15" s="248">
        <f t="shared" si="2" ref="D15:H15">SUM(D16:D25)</f>
        <v>7014739000</v>
      </c>
      <c r="E15" s="248">
        <f t="shared" si="2"/>
        <v>992400000</v>
      </c>
      <c r="F15" s="248">
        <f t="shared" si="2"/>
        <v>31900000</v>
      </c>
      <c r="G15" s="248">
        <f t="shared" si="2"/>
        <v>109000000</v>
      </c>
      <c r="H15" s="248">
        <f t="shared" si="2"/>
        <v>437000000</v>
      </c>
    </row>
    <row r="16" spans="1:8" ht="12.75">
      <c r="A16" s="183" t="s">
        <v>338</v>
      </c>
      <c r="B16" s="468">
        <f t="shared" si="1"/>
        <v>5214739000</v>
      </c>
      <c r="C16" s="184"/>
      <c r="D16" s="185">
        <v>5214739000</v>
      </c>
      <c r="E16" s="185"/>
      <c r="F16" s="185"/>
      <c r="G16" s="185"/>
      <c r="H16" s="185"/>
    </row>
    <row r="17" spans="1:8" ht="12.75">
      <c r="A17" s="186" t="s">
        <v>339</v>
      </c>
      <c r="B17" s="468">
        <f t="shared" si="1"/>
        <v>0</v>
      </c>
      <c r="C17" s="184"/>
      <c r="D17" s="185"/>
      <c r="E17" s="185"/>
      <c r="F17" s="185"/>
      <c r="G17" s="185"/>
      <c r="H17" s="185"/>
    </row>
    <row r="18" spans="1:8" ht="12.75">
      <c r="A18" s="186" t="s">
        <v>340</v>
      </c>
      <c r="B18" s="468">
        <f t="shared" si="1"/>
        <v>3585908000</v>
      </c>
      <c r="C18" s="184">
        <v>3585908000</v>
      </c>
      <c r="D18" s="185"/>
      <c r="E18" s="185"/>
      <c r="F18" s="185"/>
      <c r="G18" s="185"/>
      <c r="H18" s="185"/>
    </row>
    <row r="19" spans="1:8" ht="12.75" customHeight="1">
      <c r="A19" s="470" t="s">
        <v>341</v>
      </c>
      <c r="B19" s="468">
        <f t="shared" si="1"/>
        <v>260000000</v>
      </c>
      <c r="C19" s="184"/>
      <c r="D19" s="185"/>
      <c r="E19" s="185"/>
      <c r="F19" s="185"/>
      <c r="G19" s="185"/>
      <c r="H19" s="185">
        <v>260000000</v>
      </c>
    </row>
    <row r="20" spans="1:8" ht="25.5">
      <c r="A20" s="470" t="s">
        <v>342</v>
      </c>
      <c r="B20" s="468">
        <f t="shared" si="1"/>
        <v>0</v>
      </c>
      <c r="C20" s="184"/>
      <c r="D20" s="185"/>
      <c r="E20" s="185"/>
      <c r="F20" s="185"/>
      <c r="G20" s="185"/>
      <c r="H20" s="185"/>
    </row>
    <row r="21" spans="1:8" ht="12.75">
      <c r="A21" s="470" t="s">
        <v>343</v>
      </c>
      <c r="B21" s="468">
        <f t="shared" si="1"/>
        <v>177000000</v>
      </c>
      <c r="C21" s="184"/>
      <c r="D21" s="185"/>
      <c r="E21" s="185"/>
      <c r="F21" s="185"/>
      <c r="G21" s="185"/>
      <c r="H21" s="185">
        <v>177000000</v>
      </c>
    </row>
    <row r="22" spans="1:8" ht="12.75">
      <c r="A22" s="186" t="s">
        <v>344</v>
      </c>
      <c r="B22" s="468">
        <f t="shared" si="1"/>
        <v>109000000</v>
      </c>
      <c r="C22" s="184"/>
      <c r="D22" s="185"/>
      <c r="E22" s="185"/>
      <c r="F22" s="185"/>
      <c r="G22" s="185">
        <v>109000000</v>
      </c>
      <c r="H22" s="185"/>
    </row>
    <row r="23" spans="1:8" ht="12.75">
      <c r="A23" s="186" t="s">
        <v>345</v>
      </c>
      <c r="B23" s="468">
        <f t="shared" si="1"/>
        <v>994300000</v>
      </c>
      <c r="C23" s="184"/>
      <c r="D23" s="185"/>
      <c r="E23" s="185">
        <v>992400000</v>
      </c>
      <c r="F23" s="185">
        <v>1900000</v>
      </c>
      <c r="G23" s="185"/>
      <c r="H23" s="185"/>
    </row>
    <row r="24" spans="1:8" ht="12.75">
      <c r="A24" s="186" t="s">
        <v>346</v>
      </c>
      <c r="B24" s="468">
        <f t="shared" si="1"/>
        <v>30000000</v>
      </c>
      <c r="C24" s="184"/>
      <c r="D24" s="185"/>
      <c r="E24" s="185"/>
      <c r="F24" s="185">
        <v>30000000</v>
      </c>
      <c r="G24" s="185"/>
      <c r="H24" s="185"/>
    </row>
    <row r="25" spans="1:8" ht="13.5" thickBot="1">
      <c r="A25" s="183" t="s">
        <v>347</v>
      </c>
      <c r="B25" s="468">
        <f t="shared" si="1"/>
        <v>27114092000</v>
      </c>
      <c r="C25" s="184">
        <f>29214092000-1900000000-2000000000</f>
        <v>25314092000</v>
      </c>
      <c r="D25" s="185">
        <v>1800000000</v>
      </c>
      <c r="E25" s="185"/>
      <c r="F25" s="185"/>
      <c r="G25" s="185"/>
      <c r="H25" s="185"/>
    </row>
    <row r="26" spans="1:8" ht="12.75">
      <c r="A26" s="66" t="s">
        <v>348</v>
      </c>
      <c r="B26" s="471">
        <f t="shared" si="1"/>
        <v>79657119000</v>
      </c>
      <c r="C26" s="164">
        <v>65700000000</v>
      </c>
      <c r="D26" s="165">
        <v>7241539000</v>
      </c>
      <c r="E26" s="165">
        <f>1239500000-5400000</f>
        <v>1234100000</v>
      </c>
      <c r="F26" s="165">
        <v>57480000</v>
      </c>
      <c r="G26" s="165">
        <v>2309000000</v>
      </c>
      <c r="H26" s="165">
        <v>3115000000</v>
      </c>
    </row>
    <row r="27" spans="1:8" ht="13.5" thickBot="1">
      <c r="A27" s="187" t="s">
        <v>349</v>
      </c>
      <c r="B27" s="472">
        <f t="shared" si="1"/>
        <v>1834000000</v>
      </c>
      <c r="C27" s="166"/>
      <c r="D27" s="167"/>
      <c r="E27" s="167"/>
      <c r="F27" s="167"/>
      <c r="G27" s="168">
        <v>1600000000</v>
      </c>
      <c r="H27" s="168">
        <v>234000000</v>
      </c>
    </row>
    <row r="28" spans="1:8" ht="13.5" thickBot="1">
      <c r="A28" s="67" t="s">
        <v>350</v>
      </c>
      <c r="B28" s="473">
        <f t="shared" si="1"/>
        <v>-2794580000</v>
      </c>
      <c r="C28" s="169">
        <f>C9-C26</f>
        <v>0</v>
      </c>
      <c r="D28" s="170">
        <f t="shared" si="3" ref="D28:H28">D9-D26</f>
        <v>0</v>
      </c>
      <c r="E28" s="170">
        <f t="shared" si="3"/>
        <v>0</v>
      </c>
      <c r="F28" s="170">
        <f t="shared" si="3"/>
        <v>9820000</v>
      </c>
      <c r="G28" s="170">
        <f t="shared" si="3"/>
        <v>-1359000000</v>
      </c>
      <c r="H28" s="170">
        <f t="shared" si="3"/>
        <v>-1445400000</v>
      </c>
    </row>
    <row r="29" spans="1:8" ht="12.75">
      <c r="A29" s="275"/>
      <c r="B29" s="276"/>
      <c r="C29" s="276"/>
      <c r="D29" s="276"/>
      <c r="E29" s="276"/>
      <c r="F29" s="276"/>
      <c r="G29" s="276"/>
      <c r="H29" s="276"/>
    </row>
    <row r="30" spans="4:5" ht="12.75">
      <c r="D30" s="65"/>
      <c r="E30" s="65"/>
    </row>
    <row r="31" spans="3:5" ht="12.75">
      <c r="C31" s="65"/>
      <c r="E31" s="65"/>
    </row>
    <row r="32" spans="3:5" ht="12.75">
      <c r="C32" s="65"/>
      <c r="E32" s="65"/>
    </row>
    <row r="33" spans="5:7" ht="12.75">
      <c r="E33" s="65"/>
      <c r="G33" s="65"/>
    </row>
    <row r="34" spans="5:7" ht="12.75">
      <c r="E34" s="65"/>
      <c r="G34" s="65"/>
    </row>
    <row r="35" ht="12.75">
      <c r="E35" s="65"/>
    </row>
    <row r="37" ht="12.75">
      <c r="E37" s="65"/>
    </row>
    <row r="38" ht="12.75">
      <c r="E38" s="65"/>
    </row>
  </sheetData>
  <mergeCells count="1">
    <mergeCell ref="A3:H3"/>
  </mergeCells>
  <pageMargins left="0.7" right="0.7" top="0.787401575" bottom="0.787401575" header="0.3" footer="0.3"/>
  <pageSetup fitToHeight="0" orientation="landscape" paperSize="9" scale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R59"/>
  <sheetViews>
    <sheetView workbookViewId="0" topLeftCell="A1">
      <pane xSplit="2" ySplit="7" topLeftCell="E44" activePane="bottomRight" state="frozen"/>
      <selection pane="topLeft" activeCell="M62" sqref="M62"/>
      <selection pane="bottomLeft" activeCell="M62" sqref="M62"/>
      <selection pane="topRight" activeCell="M62" sqref="M62"/>
      <selection pane="bottomRight" activeCell="B61" sqref="B61"/>
    </sheetView>
  </sheetViews>
  <sheetFormatPr defaultColWidth="8.1640625" defaultRowHeight="12.75"/>
  <cols>
    <col min="1" max="1" width="8.14285714285714" style="1"/>
    <col min="2" max="2" width="42.7142857142857" style="1" customWidth="1"/>
    <col min="3" max="3" width="0" style="151" hidden="1" customWidth="1"/>
    <col min="4" max="4" width="0" style="151" hidden="1" customWidth="1"/>
    <col min="5" max="5" width="0" style="1" hidden="1" customWidth="1"/>
    <col min="6" max="6" width="0" style="1" hidden="1" customWidth="1"/>
    <col min="7" max="8" width="18.7142857142857" style="1" customWidth="1"/>
    <col min="9" max="9" width="0" style="1" hidden="1" customWidth="1"/>
    <col min="10" max="11" width="19.8571428571429" style="1" customWidth="1"/>
    <col min="12" max="15" width="18.1428571428571" style="1" customWidth="1"/>
    <col min="16" max="16" width="11.7142857142857" style="1" customWidth="1"/>
    <col min="17" max="18" width="18.2857142857143" style="1" customWidth="1"/>
    <col min="19" max="19" width="4.57142857142857" style="1" customWidth="1"/>
    <col min="20" max="16384" width="8.14285714285714" style="1"/>
  </cols>
  <sheetData>
    <row r="1" ht="12.75">
      <c r="P1" s="1" t="s">
        <v>0</v>
      </c>
    </row>
    <row r="3" spans="2:8" ht="14.25">
      <c r="B3" s="3" t="s">
        <v>169</v>
      </c>
      <c r="C3" s="3"/>
      <c r="D3" s="3"/>
      <c r="E3" s="3"/>
      <c r="F3" s="3"/>
      <c r="G3" s="3"/>
      <c r="H3" s="3"/>
    </row>
    <row r="4" ht="12.75">
      <c r="B4" s="82" t="s">
        <v>123</v>
      </c>
    </row>
    <row r="5" spans="2:15" ht="12.7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02"/>
      <c r="N5" s="502"/>
      <c r="O5" s="502"/>
    </row>
    <row r="6" ht="13.5" thickBot="1">
      <c r="O6" s="22" t="s">
        <v>1</v>
      </c>
    </row>
    <row r="7" spans="1:18" ht="41.25" customHeight="1" thickBot="1">
      <c r="A7" s="49" t="s">
        <v>2</v>
      </c>
      <c r="B7" s="50" t="s">
        <v>3</v>
      </c>
      <c r="C7" s="85" t="s">
        <v>126</v>
      </c>
      <c r="D7" s="85" t="s">
        <v>127</v>
      </c>
      <c r="E7" s="56" t="s">
        <v>63</v>
      </c>
      <c r="F7" s="56" t="s">
        <v>124</v>
      </c>
      <c r="G7" s="56" t="s">
        <v>125</v>
      </c>
      <c r="H7" s="56" t="s">
        <v>142</v>
      </c>
      <c r="I7" s="427" t="s">
        <v>143</v>
      </c>
      <c r="J7" s="137" t="s">
        <v>149</v>
      </c>
      <c r="K7" s="137" t="s">
        <v>165</v>
      </c>
      <c r="L7" s="51">
        <v>2019</v>
      </c>
      <c r="M7" s="51">
        <v>2020</v>
      </c>
      <c r="N7" s="51">
        <v>2021</v>
      </c>
      <c r="O7" s="51">
        <v>2022</v>
      </c>
      <c r="P7" s="85" t="s">
        <v>144</v>
      </c>
      <c r="Q7" s="85" t="s">
        <v>166</v>
      </c>
      <c r="R7" s="132" t="s">
        <v>167</v>
      </c>
    </row>
    <row r="8" spans="1:18" ht="12.75">
      <c r="A8" s="4">
        <v>301</v>
      </c>
      <c r="B8" s="5" t="s">
        <v>4</v>
      </c>
      <c r="C8" s="90">
        <v>515038</v>
      </c>
      <c r="D8" s="90">
        <v>422422</v>
      </c>
      <c r="E8" s="60">
        <v>947190.83</v>
      </c>
      <c r="F8" s="60">
        <v>774978.63</v>
      </c>
      <c r="G8" s="60">
        <v>261394.25</v>
      </c>
      <c r="H8" s="60">
        <v>153109.90</v>
      </c>
      <c r="I8" s="263">
        <v>60000</v>
      </c>
      <c r="J8" s="48">
        <v>181329.06</v>
      </c>
      <c r="K8" s="48">
        <v>3546682.91</v>
      </c>
      <c r="L8" s="48">
        <v>60000</v>
      </c>
      <c r="M8" s="48">
        <v>60000</v>
      </c>
      <c r="N8" s="48">
        <v>60000</v>
      </c>
      <c r="O8" s="48">
        <v>60000</v>
      </c>
      <c r="P8" s="425">
        <f>IF(L8=0," ",IF(L8&gt;0,ROUND(M8/L8*100,1)))</f>
        <v>100</v>
      </c>
      <c r="Q8" s="142">
        <f>M8-L8</f>
        <v>0</v>
      </c>
      <c r="R8" s="19">
        <f>M8-K8</f>
        <v>-3486682.91</v>
      </c>
    </row>
    <row r="9" spans="1:18" ht="12.75">
      <c r="A9" s="7">
        <v>302</v>
      </c>
      <c r="B9" s="8" t="s">
        <v>5</v>
      </c>
      <c r="C9" s="90">
        <v>17842661</v>
      </c>
      <c r="D9" s="90">
        <v>16309369</v>
      </c>
      <c r="E9" s="60">
        <v>15551409.710000001</v>
      </c>
      <c r="F9" s="60">
        <v>16804791.690000001</v>
      </c>
      <c r="G9" s="60">
        <v>17957835.91</v>
      </c>
      <c r="H9" s="60">
        <v>17447724.300000001</v>
      </c>
      <c r="I9" s="263">
        <v>16000000</v>
      </c>
      <c r="J9" s="48">
        <v>17313179.52</v>
      </c>
      <c r="K9" s="48">
        <v>18508606.670000002</v>
      </c>
      <c r="L9" s="48">
        <v>16000000</v>
      </c>
      <c r="M9" s="48">
        <v>16000000</v>
      </c>
      <c r="N9" s="48">
        <v>16000000</v>
      </c>
      <c r="O9" s="48">
        <v>16000000</v>
      </c>
      <c r="P9" s="425">
        <f t="shared" si="0" ref="P9:P54">IF(L9=0," ",IF(L9&gt;0,ROUND(M9/L9*100,1)))</f>
        <v>100</v>
      </c>
      <c r="Q9" s="142">
        <f t="shared" si="1" ref="Q9:Q54">M9-L9</f>
        <v>0</v>
      </c>
      <c r="R9" s="19">
        <f t="shared" si="2" ref="R9:R54">M9-K9</f>
        <v>-2508606.6700000018</v>
      </c>
    </row>
    <row r="10" spans="1:18" ht="12.75">
      <c r="A10" s="7">
        <v>303</v>
      </c>
      <c r="B10" s="8" t="s">
        <v>6</v>
      </c>
      <c r="C10" s="90">
        <v>4994197</v>
      </c>
      <c r="D10" s="90">
        <v>4798207</v>
      </c>
      <c r="E10" s="60">
        <v>4488795.8099999996</v>
      </c>
      <c r="F10" s="60">
        <v>4779642.78</v>
      </c>
      <c r="G10" s="60">
        <v>4663316.71</v>
      </c>
      <c r="H10" s="60">
        <v>4747152.03</v>
      </c>
      <c r="I10" s="263">
        <v>2500000</v>
      </c>
      <c r="J10" s="48">
        <v>4009183.44</v>
      </c>
      <c r="K10" s="48">
        <v>4268193.71</v>
      </c>
      <c r="L10" s="48">
        <v>2700000</v>
      </c>
      <c r="M10" s="48">
        <v>2900000</v>
      </c>
      <c r="N10" s="48">
        <v>2900000</v>
      </c>
      <c r="O10" s="48">
        <v>2900000</v>
      </c>
      <c r="P10" s="425">
        <f t="shared" si="0"/>
        <v>107.40</v>
      </c>
      <c r="Q10" s="142">
        <f t="shared" si="1"/>
        <v>200000</v>
      </c>
      <c r="R10" s="19">
        <f t="shared" si="2"/>
        <v>-1368193.71</v>
      </c>
    </row>
    <row r="11" spans="1:18" ht="12.75">
      <c r="A11" s="7">
        <v>304</v>
      </c>
      <c r="B11" s="8" t="s">
        <v>7</v>
      </c>
      <c r="C11" s="90">
        <v>27482699</v>
      </c>
      <c r="D11" s="90">
        <v>15199232</v>
      </c>
      <c r="E11" s="60">
        <v>24595590.09</v>
      </c>
      <c r="F11" s="60">
        <v>41222421.82</v>
      </c>
      <c r="G11" s="60">
        <v>40527618.189999998</v>
      </c>
      <c r="H11" s="60">
        <v>20310175.68</v>
      </c>
      <c r="I11" s="263">
        <v>107183399</v>
      </c>
      <c r="J11" s="48">
        <v>81872434.069999993</v>
      </c>
      <c r="K11" s="48">
        <v>119712786.06999999</v>
      </c>
      <c r="L11" s="48">
        <v>77920963</v>
      </c>
      <c r="M11" s="48">
        <v>79367739</v>
      </c>
      <c r="N11" s="48">
        <v>1500000</v>
      </c>
      <c r="O11" s="48">
        <v>1500000</v>
      </c>
      <c r="P11" s="425">
        <f t="shared" si="0"/>
        <v>101.90</v>
      </c>
      <c r="Q11" s="142">
        <f t="shared" si="1"/>
        <v>1446776</v>
      </c>
      <c r="R11" s="19">
        <f t="shared" si="2"/>
        <v>-40345047.069999993</v>
      </c>
    </row>
    <row r="12" spans="1:18" ht="12.75">
      <c r="A12" s="7">
        <v>305</v>
      </c>
      <c r="B12" s="8" t="s">
        <v>8</v>
      </c>
      <c r="C12" s="90">
        <v>146272116</v>
      </c>
      <c r="D12" s="90">
        <v>141415846</v>
      </c>
      <c r="E12" s="60">
        <v>139955480.91999999</v>
      </c>
      <c r="F12" s="60">
        <v>148123484.02000001</v>
      </c>
      <c r="G12" s="60">
        <v>156658768.91</v>
      </c>
      <c r="H12" s="60">
        <v>162196625.03999999</v>
      </c>
      <c r="I12" s="263">
        <v>146700000</v>
      </c>
      <c r="J12" s="48">
        <v>174252461.81</v>
      </c>
      <c r="K12" s="48">
        <v>202265407.84999999</v>
      </c>
      <c r="L12" s="48">
        <v>160000000</v>
      </c>
      <c r="M12" s="48">
        <v>190000000</v>
      </c>
      <c r="N12" s="48">
        <v>190000000</v>
      </c>
      <c r="O12" s="48">
        <v>190000000</v>
      </c>
      <c r="P12" s="425">
        <f t="shared" si="0"/>
        <v>118.80</v>
      </c>
      <c r="Q12" s="142">
        <f t="shared" si="1"/>
        <v>30000000</v>
      </c>
      <c r="R12" s="19">
        <f t="shared" si="2"/>
        <v>-12265407.849999994</v>
      </c>
    </row>
    <row r="13" spans="1:18" ht="12.75">
      <c r="A13" s="7">
        <v>306</v>
      </c>
      <c r="B13" s="8" t="s">
        <v>9</v>
      </c>
      <c r="C13" s="90">
        <v>701490054</v>
      </c>
      <c r="D13" s="90">
        <v>1219628131</v>
      </c>
      <c r="E13" s="60">
        <v>852801948.15999997</v>
      </c>
      <c r="F13" s="60">
        <v>747768964.90999997</v>
      </c>
      <c r="G13" s="60">
        <v>733560216.10000002</v>
      </c>
      <c r="H13" s="60">
        <v>676277157.98000002</v>
      </c>
      <c r="I13" s="263">
        <v>726000000</v>
      </c>
      <c r="J13" s="48">
        <v>861145869.76999998</v>
      </c>
      <c r="K13" s="48">
        <v>920023430.82000005</v>
      </c>
      <c r="L13" s="48">
        <v>940000000</v>
      </c>
      <c r="M13" s="48">
        <v>948135000</v>
      </c>
      <c r="N13" s="48">
        <v>920000000</v>
      </c>
      <c r="O13" s="48">
        <v>920000000</v>
      </c>
      <c r="P13" s="425">
        <f t="shared" si="0"/>
        <v>100.90</v>
      </c>
      <c r="Q13" s="142">
        <f t="shared" si="1"/>
        <v>8135000</v>
      </c>
      <c r="R13" s="19">
        <f t="shared" si="2"/>
        <v>28111569.179999948</v>
      </c>
    </row>
    <row r="14" spans="1:18" ht="12.75">
      <c r="A14" s="7">
        <v>307</v>
      </c>
      <c r="B14" s="8" t="s">
        <v>10</v>
      </c>
      <c r="C14" s="90">
        <v>3800968046</v>
      </c>
      <c r="D14" s="90">
        <v>3950721676</v>
      </c>
      <c r="E14" s="60">
        <v>3563960954.1199999</v>
      </c>
      <c r="F14" s="60">
        <v>4041373265.6300001</v>
      </c>
      <c r="G14" s="60">
        <v>4132297686.1599998</v>
      </c>
      <c r="H14" s="60">
        <v>5365284806.1300001</v>
      </c>
      <c r="I14" s="263">
        <v>4853112780</v>
      </c>
      <c r="J14" s="48">
        <v>5087984868.4899998</v>
      </c>
      <c r="K14" s="48">
        <v>5350794148.2200003</v>
      </c>
      <c r="L14" s="48">
        <v>5187595096</v>
      </c>
      <c r="M14" s="48">
        <v>5153890297</v>
      </c>
      <c r="N14" s="48">
        <v>5208355074</v>
      </c>
      <c r="O14" s="48">
        <v>5550263464</v>
      </c>
      <c r="P14" s="425">
        <f t="shared" si="0"/>
        <v>99.40</v>
      </c>
      <c r="Q14" s="142">
        <f t="shared" si="1"/>
        <v>-33704799</v>
      </c>
      <c r="R14" s="19">
        <f t="shared" si="2"/>
        <v>-196903851.22000027</v>
      </c>
    </row>
    <row r="15" spans="1:18" ht="12.75">
      <c r="A15" s="7">
        <v>308</v>
      </c>
      <c r="B15" s="8" t="s">
        <v>11</v>
      </c>
      <c r="C15" s="90">
        <v>1123569</v>
      </c>
      <c r="D15" s="90">
        <v>1240903</v>
      </c>
      <c r="E15" s="60">
        <v>715820.56</v>
      </c>
      <c r="F15" s="60">
        <v>7585773.7199999997</v>
      </c>
      <c r="G15" s="60">
        <v>30544183.66</v>
      </c>
      <c r="H15" s="60">
        <v>1304455.1599999999</v>
      </c>
      <c r="I15" s="263">
        <v>73165018</v>
      </c>
      <c r="J15" s="48">
        <v>1134353.8400000001</v>
      </c>
      <c r="K15" s="48">
        <v>3061691.68</v>
      </c>
      <c r="L15" s="48">
        <v>800000</v>
      </c>
      <c r="M15" s="48">
        <v>800000</v>
      </c>
      <c r="N15" s="48">
        <v>800000</v>
      </c>
      <c r="O15" s="48">
        <v>800000</v>
      </c>
      <c r="P15" s="425">
        <f t="shared" si="0"/>
        <v>100</v>
      </c>
      <c r="Q15" s="142">
        <f t="shared" si="1"/>
        <v>0</v>
      </c>
      <c r="R15" s="19">
        <f t="shared" si="2"/>
        <v>-2261691.6800000002</v>
      </c>
    </row>
    <row r="16" spans="1:18" ht="12.75">
      <c r="A16" s="7">
        <v>309</v>
      </c>
      <c r="B16" s="8" t="s">
        <v>12</v>
      </c>
      <c r="C16" s="90">
        <v>1073988</v>
      </c>
      <c r="D16" s="90">
        <v>1042991</v>
      </c>
      <c r="E16" s="60">
        <v>1968037.21</v>
      </c>
      <c r="F16" s="60">
        <v>1482460.03</v>
      </c>
      <c r="G16" s="60">
        <v>6722876.2300000004</v>
      </c>
      <c r="H16" s="60">
        <v>4680870.17</v>
      </c>
      <c r="I16" s="263">
        <v>989647</v>
      </c>
      <c r="J16" s="48">
        <v>1563234.41</v>
      </c>
      <c r="K16" s="48">
        <v>6571612.9900000002</v>
      </c>
      <c r="L16" s="48">
        <v>1037940</v>
      </c>
      <c r="M16" s="48">
        <v>490210</v>
      </c>
      <c r="N16" s="48">
        <v>250000</v>
      </c>
      <c r="O16" s="48">
        <v>250000</v>
      </c>
      <c r="P16" s="425">
        <f t="shared" si="0"/>
        <v>47.20</v>
      </c>
      <c r="Q16" s="142">
        <f t="shared" si="1"/>
        <v>-547730</v>
      </c>
      <c r="R16" s="19">
        <f t="shared" si="2"/>
        <v>-6081402.9900000002</v>
      </c>
    </row>
    <row r="17" spans="1:18" ht="12.75">
      <c r="A17" s="7">
        <v>312</v>
      </c>
      <c r="B17" s="8" t="s">
        <v>13</v>
      </c>
      <c r="C17" s="90">
        <v>5446033002</v>
      </c>
      <c r="D17" s="90">
        <v>4813756784</v>
      </c>
      <c r="E17" s="60">
        <v>4204515115.8499999</v>
      </c>
      <c r="F17" s="60">
        <v>6442711439.21</v>
      </c>
      <c r="G17" s="60">
        <v>7938644331.1400003</v>
      </c>
      <c r="H17" s="60">
        <v>7510913967.4899998</v>
      </c>
      <c r="I17" s="263">
        <v>4928731646</v>
      </c>
      <c r="J17" s="48">
        <v>5190634239.5299997</v>
      </c>
      <c r="K17" s="48">
        <v>8207611707.3900003</v>
      </c>
      <c r="L17" s="48">
        <v>5254899121</v>
      </c>
      <c r="M17" s="48">
        <v>5179623325</v>
      </c>
      <c r="N17" s="48">
        <v>4999735112</v>
      </c>
      <c r="O17" s="48">
        <v>4905231991</v>
      </c>
      <c r="P17" s="425">
        <f t="shared" si="0"/>
        <v>98.60</v>
      </c>
      <c r="Q17" s="142">
        <f t="shared" si="1"/>
        <v>-75275796</v>
      </c>
      <c r="R17" s="19">
        <f t="shared" si="2"/>
        <v>-3027988382.3900003</v>
      </c>
    </row>
    <row r="18" spans="1:18" ht="12.75">
      <c r="A18" s="7">
        <v>313</v>
      </c>
      <c r="B18" s="8" t="s">
        <v>14</v>
      </c>
      <c r="C18" s="90">
        <v>365556455777</v>
      </c>
      <c r="D18" s="90">
        <v>368658095819</v>
      </c>
      <c r="E18" s="60">
        <v>370747622733.29999</v>
      </c>
      <c r="F18" s="60">
        <v>383099091870.03003</v>
      </c>
      <c r="G18" s="60">
        <v>404962391687.62</v>
      </c>
      <c r="H18" s="60">
        <v>430105948528.62</v>
      </c>
      <c r="I18" s="263">
        <v>442710835482</v>
      </c>
      <c r="J18" s="48">
        <v>461986861386.92999</v>
      </c>
      <c r="K18" s="48">
        <v>510774253474.63</v>
      </c>
      <c r="L18" s="48">
        <v>552397446963</v>
      </c>
      <c r="M18" s="48">
        <v>569961146646</v>
      </c>
      <c r="N18" s="48">
        <v>594809291727</v>
      </c>
      <c r="O18" s="48">
        <v>624195027073</v>
      </c>
      <c r="P18" s="425">
        <f t="shared" si="0"/>
        <v>103.20</v>
      </c>
      <c r="Q18" s="142">
        <f t="shared" si="1"/>
        <v>17563699683</v>
      </c>
      <c r="R18" s="19">
        <f t="shared" si="2"/>
        <v>59186893171.369995</v>
      </c>
    </row>
    <row r="19" spans="1:18" ht="12.75">
      <c r="A19" s="7">
        <v>314</v>
      </c>
      <c r="B19" s="8" t="s">
        <v>15</v>
      </c>
      <c r="C19" s="90">
        <v>7800514651</v>
      </c>
      <c r="D19" s="90">
        <v>7950598418</v>
      </c>
      <c r="E19" s="60">
        <v>7177216513.7200003</v>
      </c>
      <c r="F19" s="60">
        <v>9276232547.3500004</v>
      </c>
      <c r="G19" s="60">
        <v>8796786892.2999992</v>
      </c>
      <c r="H19" s="60">
        <v>13170303216.51</v>
      </c>
      <c r="I19" s="263">
        <v>8119944466</v>
      </c>
      <c r="J19" s="48">
        <v>9040161366.0100002</v>
      </c>
      <c r="K19" s="48">
        <v>11303277708.49</v>
      </c>
      <c r="L19" s="48">
        <v>10480723051</v>
      </c>
      <c r="M19" s="48">
        <v>10550694410</v>
      </c>
      <c r="N19" s="48">
        <v>9473182269</v>
      </c>
      <c r="O19" s="48">
        <v>9918398734</v>
      </c>
      <c r="P19" s="425">
        <f t="shared" si="0"/>
        <v>100.70</v>
      </c>
      <c r="Q19" s="142">
        <f t="shared" si="1"/>
        <v>69971359</v>
      </c>
      <c r="R19" s="19">
        <f t="shared" si="2"/>
        <v>-752583298.48999977</v>
      </c>
    </row>
    <row r="20" spans="1:18" ht="12.75">
      <c r="A20" s="7">
        <v>315</v>
      </c>
      <c r="B20" s="8" t="s">
        <v>16</v>
      </c>
      <c r="C20" s="90">
        <v>9687811250</v>
      </c>
      <c r="D20" s="90">
        <v>14373709737</v>
      </c>
      <c r="E20" s="60">
        <v>14185766522.15</v>
      </c>
      <c r="F20" s="60">
        <v>20173461617.75</v>
      </c>
      <c r="G20" s="60">
        <v>43225046474.550011</v>
      </c>
      <c r="H20" s="60">
        <v>16767189269.530001</v>
      </c>
      <c r="I20" s="263">
        <v>16304030575</v>
      </c>
      <c r="J20" s="48">
        <v>10904963136.23</v>
      </c>
      <c r="K20" s="48">
        <v>30786861278.5</v>
      </c>
      <c r="L20" s="48">
        <v>15299640889</v>
      </c>
      <c r="M20" s="48">
        <v>25808300000</v>
      </c>
      <c r="N20" s="48">
        <v>14776940000</v>
      </c>
      <c r="O20" s="48">
        <v>17751490000</v>
      </c>
      <c r="P20" s="425">
        <f t="shared" si="0"/>
        <v>168.70</v>
      </c>
      <c r="Q20" s="142">
        <f t="shared" si="1"/>
        <v>10508659111</v>
      </c>
      <c r="R20" s="19">
        <f t="shared" si="2"/>
        <v>-4978561278.5</v>
      </c>
    </row>
    <row r="21" spans="1:18" ht="12.75">
      <c r="A21" s="7">
        <v>317</v>
      </c>
      <c r="B21" s="8" t="s">
        <v>17</v>
      </c>
      <c r="C21" s="90">
        <v>18151284353</v>
      </c>
      <c r="D21" s="90">
        <v>12366739956</v>
      </c>
      <c r="E21" s="60">
        <v>8622843639.8999996</v>
      </c>
      <c r="F21" s="60">
        <v>25602628965.990002</v>
      </c>
      <c r="G21" s="60">
        <v>23397984623.799999</v>
      </c>
      <c r="H21" s="60">
        <v>14682794326.16</v>
      </c>
      <c r="I21" s="263">
        <v>11287037819</v>
      </c>
      <c r="J21" s="48">
        <v>5991798946.0100002</v>
      </c>
      <c r="K21" s="48">
        <v>24105684275.509998</v>
      </c>
      <c r="L21" s="48">
        <v>6642675250</v>
      </c>
      <c r="M21" s="48">
        <v>20925677250</v>
      </c>
      <c r="N21" s="48">
        <v>61500000</v>
      </c>
      <c r="O21" s="48">
        <v>61500000</v>
      </c>
      <c r="P21" s="425">
        <f t="shared" si="0"/>
        <v>315</v>
      </c>
      <c r="Q21" s="142">
        <f t="shared" si="1"/>
        <v>14283002000</v>
      </c>
      <c r="R21" s="19">
        <f t="shared" si="2"/>
        <v>-3180007025.5099983</v>
      </c>
    </row>
    <row r="22" spans="1:18" ht="12.75">
      <c r="A22" s="7">
        <v>321</v>
      </c>
      <c r="B22" s="8" t="s">
        <v>18</v>
      </c>
      <c r="C22" s="90">
        <v>306482</v>
      </c>
      <c r="D22" s="90">
        <v>472748</v>
      </c>
      <c r="E22" s="60">
        <v>166141.32</v>
      </c>
      <c r="F22" s="60">
        <v>805564.14</v>
      </c>
      <c r="G22" s="60">
        <v>667955.79</v>
      </c>
      <c r="H22" s="60">
        <v>1008130.59</v>
      </c>
      <c r="I22" s="263">
        <v>0</v>
      </c>
      <c r="J22" s="48">
        <v>453603.87</v>
      </c>
      <c r="K22" s="48">
        <v>5839950.0199999996</v>
      </c>
      <c r="L22" s="48">
        <v>0</v>
      </c>
      <c r="M22" s="48">
        <v>0</v>
      </c>
      <c r="N22" s="48">
        <v>0</v>
      </c>
      <c r="O22" s="48">
        <v>0</v>
      </c>
      <c r="P22" s="425" t="str">
        <f t="shared" si="0"/>
        <v xml:space="preserve"> </v>
      </c>
      <c r="Q22" s="142">
        <f t="shared" si="1"/>
        <v>0</v>
      </c>
      <c r="R22" s="19">
        <f t="shared" si="2"/>
        <v>-5839950.0199999996</v>
      </c>
    </row>
    <row r="23" spans="1:18" ht="12.75">
      <c r="A23" s="7">
        <v>322</v>
      </c>
      <c r="B23" s="8" t="s">
        <v>19</v>
      </c>
      <c r="C23" s="90">
        <v>7686741459</v>
      </c>
      <c r="D23" s="90">
        <v>13526059345</v>
      </c>
      <c r="E23" s="60">
        <v>2631134472.6999998</v>
      </c>
      <c r="F23" s="60">
        <v>759869955.41999996</v>
      </c>
      <c r="G23" s="60">
        <v>37177180846.43</v>
      </c>
      <c r="H23" s="60">
        <v>11220720400.719999</v>
      </c>
      <c r="I23" s="263">
        <v>5637529192</v>
      </c>
      <c r="J23" s="48">
        <v>8251911947.1599998</v>
      </c>
      <c r="K23" s="48">
        <v>7631491652.5799999</v>
      </c>
      <c r="L23" s="48">
        <v>6397656448</v>
      </c>
      <c r="M23" s="48">
        <v>14005487091</v>
      </c>
      <c r="N23" s="48">
        <v>2006890519</v>
      </c>
      <c r="O23" s="48">
        <v>2000000000</v>
      </c>
      <c r="P23" s="425">
        <f t="shared" si="0"/>
        <v>218.90</v>
      </c>
      <c r="Q23" s="142">
        <f t="shared" si="1"/>
        <v>7607830643</v>
      </c>
      <c r="R23" s="19">
        <f t="shared" si="2"/>
        <v>6373995438.4200001</v>
      </c>
    </row>
    <row r="24" spans="1:18" ht="12.75">
      <c r="A24" s="7">
        <v>327</v>
      </c>
      <c r="B24" s="8" t="s">
        <v>20</v>
      </c>
      <c r="C24" s="90">
        <v>13588925630</v>
      </c>
      <c r="D24" s="90">
        <v>2019077578</v>
      </c>
      <c r="E24" s="60">
        <v>39077765275</v>
      </c>
      <c r="F24" s="60">
        <v>8007250109.4399996</v>
      </c>
      <c r="G24" s="60">
        <v>11847852567.030001</v>
      </c>
      <c r="H24" s="60">
        <v>51159149481.400002</v>
      </c>
      <c r="I24" s="263">
        <v>22131383702</v>
      </c>
      <c r="J24" s="48">
        <v>18205514479.34</v>
      </c>
      <c r="K24" s="48">
        <v>22958912164.169998</v>
      </c>
      <c r="L24" s="48">
        <v>19246733321</v>
      </c>
      <c r="M24" s="48">
        <v>12347510807</v>
      </c>
      <c r="N24" s="48">
        <v>347000000</v>
      </c>
      <c r="O24" s="48">
        <v>347000000</v>
      </c>
      <c r="P24" s="425">
        <f t="shared" si="0"/>
        <v>64.20</v>
      </c>
      <c r="Q24" s="142">
        <f t="shared" si="1"/>
        <v>-6899222514</v>
      </c>
      <c r="R24" s="19">
        <f t="shared" si="2"/>
        <v>-10611401357.169998</v>
      </c>
    </row>
    <row r="25" spans="1:18" ht="12.75">
      <c r="A25" s="7">
        <v>328</v>
      </c>
      <c r="B25" s="8" t="s">
        <v>21</v>
      </c>
      <c r="C25" s="90">
        <v>1142673732</v>
      </c>
      <c r="D25" s="90">
        <v>1259837587</v>
      </c>
      <c r="E25" s="60">
        <v>1173466121.3499999</v>
      </c>
      <c r="F25" s="60">
        <v>9678453924.9799995</v>
      </c>
      <c r="G25" s="60">
        <v>1222642878.47</v>
      </c>
      <c r="H25" s="60">
        <v>4372300255.6300001</v>
      </c>
      <c r="I25" s="263">
        <v>1220729000</v>
      </c>
      <c r="J25" s="48">
        <v>2117934758.98</v>
      </c>
      <c r="K25" s="48">
        <v>1065770319.27</v>
      </c>
      <c r="L25" s="48">
        <v>898789346</v>
      </c>
      <c r="M25" s="48">
        <v>8803430000</v>
      </c>
      <c r="N25" s="48">
        <v>1020000000</v>
      </c>
      <c r="O25" s="48">
        <v>1030000000</v>
      </c>
      <c r="P25" s="425">
        <f t="shared" si="0"/>
        <v>979.50</v>
      </c>
      <c r="Q25" s="142">
        <f t="shared" si="1"/>
        <v>7904640654</v>
      </c>
      <c r="R25" s="19">
        <f t="shared" si="2"/>
        <v>7737659680.7299995</v>
      </c>
    </row>
    <row r="26" spans="1:18" ht="12.75">
      <c r="A26" s="7">
        <v>329</v>
      </c>
      <c r="B26" s="8" t="s">
        <v>22</v>
      </c>
      <c r="C26" s="90">
        <v>28417155704</v>
      </c>
      <c r="D26" s="90">
        <v>32228746916</v>
      </c>
      <c r="E26" s="60">
        <v>41264165464.080002</v>
      </c>
      <c r="F26" s="60">
        <v>42414115794.830002</v>
      </c>
      <c r="G26" s="60">
        <v>44356766761.230011</v>
      </c>
      <c r="H26" s="60">
        <v>40095721750.449997</v>
      </c>
      <c r="I26" s="263">
        <v>36645523326</v>
      </c>
      <c r="J26" s="48">
        <v>35042938868.260002</v>
      </c>
      <c r="K26" s="48">
        <v>35547215116.349998</v>
      </c>
      <c r="L26" s="48">
        <v>35339406140</v>
      </c>
      <c r="M26" s="48">
        <v>33260177061</v>
      </c>
      <c r="N26" s="48">
        <v>1331300000</v>
      </c>
      <c r="O26" s="48">
        <v>2331300000</v>
      </c>
      <c r="P26" s="425">
        <f t="shared" si="0"/>
        <v>94.10</v>
      </c>
      <c r="Q26" s="142">
        <f t="shared" si="1"/>
        <v>-2079229079</v>
      </c>
      <c r="R26" s="19">
        <f t="shared" si="2"/>
        <v>-2287038055.3499985</v>
      </c>
    </row>
    <row r="27" spans="1:18" ht="12.75">
      <c r="A27" s="7">
        <v>333</v>
      </c>
      <c r="B27" s="8" t="s">
        <v>23</v>
      </c>
      <c r="C27" s="90">
        <v>5672713368</v>
      </c>
      <c r="D27" s="90">
        <v>7081604004</v>
      </c>
      <c r="E27" s="60">
        <v>15577179248.24</v>
      </c>
      <c r="F27" s="60">
        <v>23457644162.799999</v>
      </c>
      <c r="G27" s="60">
        <v>16390063387.700001</v>
      </c>
      <c r="H27" s="60">
        <v>18163412760.18</v>
      </c>
      <c r="I27" s="263">
        <v>8645045514</v>
      </c>
      <c r="J27" s="48">
        <v>3274552889.1199999</v>
      </c>
      <c r="K27" s="48">
        <v>8248802810.5799999</v>
      </c>
      <c r="L27" s="48">
        <v>10151242744</v>
      </c>
      <c r="M27" s="48">
        <v>12282724856</v>
      </c>
      <c r="N27" s="48">
        <v>94398600</v>
      </c>
      <c r="O27" s="48">
        <v>94398600</v>
      </c>
      <c r="P27" s="425">
        <f t="shared" si="0"/>
        <v>121</v>
      </c>
      <c r="Q27" s="142">
        <f t="shared" si="1"/>
        <v>2131482112</v>
      </c>
      <c r="R27" s="19">
        <f t="shared" si="2"/>
        <v>4033922045.4200001</v>
      </c>
    </row>
    <row r="28" spans="1:18" ht="12.75">
      <c r="A28" s="7">
        <v>334</v>
      </c>
      <c r="B28" s="8" t="s">
        <v>24</v>
      </c>
      <c r="C28" s="90">
        <v>881616261</v>
      </c>
      <c r="D28" s="90">
        <v>880778279</v>
      </c>
      <c r="E28" s="60">
        <v>611679151.73000002</v>
      </c>
      <c r="F28" s="60">
        <v>1657046990.8399999</v>
      </c>
      <c r="G28" s="60">
        <v>705700882.10000002</v>
      </c>
      <c r="H28" s="60">
        <v>434737744.66000003</v>
      </c>
      <c r="I28" s="263">
        <v>527217024</v>
      </c>
      <c r="J28" s="48">
        <v>490114389.10000002</v>
      </c>
      <c r="K28" s="48">
        <v>474116002.23000002</v>
      </c>
      <c r="L28" s="48">
        <v>575471873</v>
      </c>
      <c r="M28" s="48">
        <v>189711148</v>
      </c>
      <c r="N28" s="48">
        <v>110373411</v>
      </c>
      <c r="O28" s="48">
        <v>110373411</v>
      </c>
      <c r="P28" s="425">
        <f t="shared" si="0"/>
        <v>33</v>
      </c>
      <c r="Q28" s="142">
        <f t="shared" si="1"/>
        <v>-385760725</v>
      </c>
      <c r="R28" s="19">
        <f t="shared" si="2"/>
        <v>-284404854.23000002</v>
      </c>
    </row>
    <row r="29" spans="1:18" ht="12.75">
      <c r="A29" s="7">
        <v>335</v>
      </c>
      <c r="B29" s="8" t="s">
        <v>25</v>
      </c>
      <c r="C29" s="90">
        <v>1815370831</v>
      </c>
      <c r="D29" s="90">
        <v>1359147478</v>
      </c>
      <c r="E29" s="60">
        <v>822081866.32000005</v>
      </c>
      <c r="F29" s="60">
        <v>2183352638.3099999</v>
      </c>
      <c r="G29" s="60">
        <v>4614426437</v>
      </c>
      <c r="H29" s="60">
        <v>3716662002.4200001</v>
      </c>
      <c r="I29" s="263">
        <v>1092520000</v>
      </c>
      <c r="J29" s="48">
        <v>901079831.40999997</v>
      </c>
      <c r="K29" s="48">
        <v>1464593564.8900001</v>
      </c>
      <c r="L29" s="48">
        <v>932445061</v>
      </c>
      <c r="M29" s="48">
        <v>1946800000</v>
      </c>
      <c r="N29" s="48">
        <v>46800000</v>
      </c>
      <c r="O29" s="48">
        <v>46800000</v>
      </c>
      <c r="P29" s="425">
        <f t="shared" si="0"/>
        <v>208.80</v>
      </c>
      <c r="Q29" s="142">
        <f t="shared" si="1"/>
        <v>1014354939</v>
      </c>
      <c r="R29" s="19">
        <f t="shared" si="2"/>
        <v>482206435.1099999</v>
      </c>
    </row>
    <row r="30" spans="1:18" ht="12.75">
      <c r="A30" s="7">
        <v>336</v>
      </c>
      <c r="B30" s="8" t="s">
        <v>26</v>
      </c>
      <c r="C30" s="90">
        <v>2772517061</v>
      </c>
      <c r="D30" s="90">
        <v>3059984338</v>
      </c>
      <c r="E30" s="60">
        <v>2895141446.6900001</v>
      </c>
      <c r="F30" s="60">
        <v>2994361202.9400001</v>
      </c>
      <c r="G30" s="60">
        <v>3094472410.1100001</v>
      </c>
      <c r="H30" s="60">
        <v>3041305563.6100001</v>
      </c>
      <c r="I30" s="263">
        <v>2717540035</v>
      </c>
      <c r="J30" s="48">
        <v>3278324638.0500002</v>
      </c>
      <c r="K30" s="48">
        <v>3570548864.8499999</v>
      </c>
      <c r="L30" s="48">
        <v>3299063644</v>
      </c>
      <c r="M30" s="48">
        <v>3232147481</v>
      </c>
      <c r="N30" s="48">
        <v>3395246859</v>
      </c>
      <c r="O30" s="48">
        <v>3459575689</v>
      </c>
      <c r="P30" s="425">
        <f t="shared" si="0"/>
        <v>98</v>
      </c>
      <c r="Q30" s="142">
        <f t="shared" si="1"/>
        <v>-66916163</v>
      </c>
      <c r="R30" s="19">
        <f t="shared" si="2"/>
        <v>-338401383.8499999</v>
      </c>
    </row>
    <row r="31" spans="1:18" ht="12.75">
      <c r="A31" s="7">
        <v>343</v>
      </c>
      <c r="B31" s="8" t="s">
        <v>27</v>
      </c>
      <c r="C31" s="90">
        <v>63888703</v>
      </c>
      <c r="D31" s="90">
        <v>89566005</v>
      </c>
      <c r="E31" s="60">
        <v>11881331.609999999</v>
      </c>
      <c r="F31" s="60">
        <v>2677796.38</v>
      </c>
      <c r="G31" s="60">
        <v>4277636.96</v>
      </c>
      <c r="H31" s="60">
        <v>6475907.7599999998</v>
      </c>
      <c r="I31" s="263">
        <v>0</v>
      </c>
      <c r="J31" s="48">
        <v>1394272.90</v>
      </c>
      <c r="K31" s="48">
        <v>3056889.22</v>
      </c>
      <c r="L31" s="48">
        <v>0</v>
      </c>
      <c r="M31" s="48">
        <v>0</v>
      </c>
      <c r="N31" s="48">
        <v>0</v>
      </c>
      <c r="O31" s="48">
        <v>0</v>
      </c>
      <c r="P31" s="425" t="str">
        <f t="shared" si="0"/>
        <v xml:space="preserve"> </v>
      </c>
      <c r="Q31" s="142">
        <f t="shared" si="1"/>
        <v>0</v>
      </c>
      <c r="R31" s="19">
        <f t="shared" si="2"/>
        <v>-3056889.22</v>
      </c>
    </row>
    <row r="32" spans="1:18" ht="12.75">
      <c r="A32" s="7">
        <v>344</v>
      </c>
      <c r="B32" s="8" t="s">
        <v>28</v>
      </c>
      <c r="C32" s="90">
        <v>239498752</v>
      </c>
      <c r="D32" s="90">
        <v>249795977</v>
      </c>
      <c r="E32" s="60">
        <v>248189722.09999999</v>
      </c>
      <c r="F32" s="60">
        <v>268347643.44</v>
      </c>
      <c r="G32" s="60">
        <v>273888310.27999997</v>
      </c>
      <c r="H32" s="60">
        <v>284199299.52999997</v>
      </c>
      <c r="I32" s="263">
        <v>227396800</v>
      </c>
      <c r="J32" s="48">
        <v>277046787.88999999</v>
      </c>
      <c r="K32" s="48">
        <v>281449306.56</v>
      </c>
      <c r="L32" s="48">
        <v>235787000</v>
      </c>
      <c r="M32" s="48">
        <v>241602500</v>
      </c>
      <c r="N32" s="48">
        <v>236000000</v>
      </c>
      <c r="O32" s="48">
        <v>236000000</v>
      </c>
      <c r="P32" s="425">
        <f t="shared" si="0"/>
        <v>102.50</v>
      </c>
      <c r="Q32" s="142">
        <f t="shared" si="1"/>
        <v>5815500</v>
      </c>
      <c r="R32" s="19">
        <f t="shared" si="2"/>
        <v>-39846806.560000002</v>
      </c>
    </row>
    <row r="33" spans="1:18" ht="12.75">
      <c r="A33" s="7">
        <v>345</v>
      </c>
      <c r="B33" s="8" t="s">
        <v>29</v>
      </c>
      <c r="C33" s="90">
        <v>294713751</v>
      </c>
      <c r="D33" s="90">
        <v>171130541</v>
      </c>
      <c r="E33" s="60">
        <v>26865526.030000001</v>
      </c>
      <c r="F33" s="60">
        <v>146068239.38</v>
      </c>
      <c r="G33" s="60">
        <v>137418692.21000001</v>
      </c>
      <c r="H33" s="60">
        <v>20226531.32</v>
      </c>
      <c r="I33" s="263">
        <v>14867800</v>
      </c>
      <c r="J33" s="48">
        <v>16583168.880000001</v>
      </c>
      <c r="K33" s="48">
        <v>14943630.23</v>
      </c>
      <c r="L33" s="48">
        <v>12005000</v>
      </c>
      <c r="M33" s="48">
        <v>19385742</v>
      </c>
      <c r="N33" s="48">
        <v>1700000</v>
      </c>
      <c r="O33" s="48">
        <v>1700000</v>
      </c>
      <c r="P33" s="425">
        <f t="shared" si="0"/>
        <v>161.50</v>
      </c>
      <c r="Q33" s="142">
        <f t="shared" si="1"/>
        <v>7380742</v>
      </c>
      <c r="R33" s="19">
        <f t="shared" si="2"/>
        <v>4442111.7699999996</v>
      </c>
    </row>
    <row r="34" spans="1:18" ht="12.75">
      <c r="A34" s="7">
        <v>346</v>
      </c>
      <c r="B34" s="8" t="s">
        <v>30</v>
      </c>
      <c r="C34" s="90">
        <v>439975122</v>
      </c>
      <c r="D34" s="90">
        <v>599178352</v>
      </c>
      <c r="E34" s="60">
        <v>721423749.80999994</v>
      </c>
      <c r="F34" s="60">
        <v>1160637146.3299999</v>
      </c>
      <c r="G34" s="60">
        <v>950029261.53999996</v>
      </c>
      <c r="H34" s="60">
        <v>929129744.38</v>
      </c>
      <c r="I34" s="263">
        <v>700000000</v>
      </c>
      <c r="J34" s="48">
        <v>889518924.38999999</v>
      </c>
      <c r="K34" s="48">
        <v>849376094.38</v>
      </c>
      <c r="L34" s="48">
        <v>844496637</v>
      </c>
      <c r="M34" s="48">
        <v>1429939681</v>
      </c>
      <c r="N34" s="48">
        <v>1420000000</v>
      </c>
      <c r="O34" s="48">
        <v>1420000000</v>
      </c>
      <c r="P34" s="425">
        <f t="shared" si="0"/>
        <v>169.30</v>
      </c>
      <c r="Q34" s="142">
        <f t="shared" si="1"/>
        <v>585443044</v>
      </c>
      <c r="R34" s="19">
        <f t="shared" si="2"/>
        <v>580563586.62</v>
      </c>
    </row>
    <row r="35" spans="1:18" ht="12.75">
      <c r="A35" s="7">
        <v>348</v>
      </c>
      <c r="B35" s="8" t="s">
        <v>31</v>
      </c>
      <c r="C35" s="90">
        <v>8904262</v>
      </c>
      <c r="D35" s="90">
        <v>3286494</v>
      </c>
      <c r="E35" s="60">
        <v>5399391.3399999999</v>
      </c>
      <c r="F35" s="60">
        <v>7450633.6699999999</v>
      </c>
      <c r="G35" s="60">
        <v>2682996.39</v>
      </c>
      <c r="H35" s="60">
        <v>2583837.16</v>
      </c>
      <c r="I35" s="263">
        <v>55092797</v>
      </c>
      <c r="J35" s="48">
        <v>56319812.869999997</v>
      </c>
      <c r="K35" s="48">
        <v>430053461.80000001</v>
      </c>
      <c r="L35" s="48">
        <v>371634604</v>
      </c>
      <c r="M35" s="48">
        <v>328034256</v>
      </c>
      <c r="N35" s="48">
        <v>328034256</v>
      </c>
      <c r="O35" s="48">
        <v>328034256</v>
      </c>
      <c r="P35" s="425">
        <f t="shared" si="0"/>
        <v>88.30</v>
      </c>
      <c r="Q35" s="142">
        <f t="shared" si="1"/>
        <v>-43600348</v>
      </c>
      <c r="R35" s="19">
        <f t="shared" si="2"/>
        <v>-102019205.80000001</v>
      </c>
    </row>
    <row r="36" spans="1:18" ht="12.75">
      <c r="A36" s="7">
        <v>349</v>
      </c>
      <c r="B36" s="8" t="s">
        <v>32</v>
      </c>
      <c r="C36" s="90">
        <v>11762725</v>
      </c>
      <c r="D36" s="90">
        <v>228280680</v>
      </c>
      <c r="E36" s="60">
        <v>216799872.25</v>
      </c>
      <c r="F36" s="60">
        <v>210284975.59</v>
      </c>
      <c r="G36" s="60">
        <v>230691471.19</v>
      </c>
      <c r="H36" s="60">
        <v>293471608.62</v>
      </c>
      <c r="I36" s="263">
        <v>294109000</v>
      </c>
      <c r="J36" s="48">
        <v>297672582.70999998</v>
      </c>
      <c r="K36" s="48">
        <v>311324134.19999999</v>
      </c>
      <c r="L36" s="48">
        <v>326488000</v>
      </c>
      <c r="M36" s="48">
        <v>339839000</v>
      </c>
      <c r="N36" s="48">
        <v>377123000</v>
      </c>
      <c r="O36" s="48">
        <v>377123000</v>
      </c>
      <c r="P36" s="425">
        <f t="shared" si="0"/>
        <v>104.10</v>
      </c>
      <c r="Q36" s="142">
        <f t="shared" si="1"/>
        <v>13351000</v>
      </c>
      <c r="R36" s="19">
        <f t="shared" si="2"/>
        <v>28514865.800000012</v>
      </c>
    </row>
    <row r="37" spans="1:18" ht="12.75">
      <c r="A37" s="7">
        <v>353</v>
      </c>
      <c r="B37" s="8" t="s">
        <v>33</v>
      </c>
      <c r="C37" s="90">
        <v>23328422</v>
      </c>
      <c r="D37" s="90">
        <v>-541384030</v>
      </c>
      <c r="E37" s="60">
        <v>-393790123.36000001</v>
      </c>
      <c r="F37" s="60">
        <v>26235755.780000001</v>
      </c>
      <c r="G37" s="60">
        <v>23423908.780000001</v>
      </c>
      <c r="H37" s="60">
        <v>20017294.5</v>
      </c>
      <c r="I37" s="263">
        <v>5500000</v>
      </c>
      <c r="J37" s="48">
        <v>19010581.84</v>
      </c>
      <c r="K37" s="48">
        <v>21675955.109999999</v>
      </c>
      <c r="L37" s="48">
        <v>5500000</v>
      </c>
      <c r="M37" s="48">
        <v>5500000</v>
      </c>
      <c r="N37" s="48">
        <v>5500000</v>
      </c>
      <c r="O37" s="48">
        <v>5500000</v>
      </c>
      <c r="P37" s="425">
        <f t="shared" si="0"/>
        <v>100</v>
      </c>
      <c r="Q37" s="142">
        <f t="shared" si="1"/>
        <v>0</v>
      </c>
      <c r="R37" s="19">
        <f t="shared" si="2"/>
        <v>-16175955.109999999</v>
      </c>
    </row>
    <row r="38" spans="1:18" ht="12.75">
      <c r="A38" s="7">
        <v>355</v>
      </c>
      <c r="B38" s="8" t="s">
        <v>34</v>
      </c>
      <c r="C38" s="90">
        <v>1051136</v>
      </c>
      <c r="D38" s="90">
        <v>1615151</v>
      </c>
      <c r="E38" s="60">
        <v>3489486.34</v>
      </c>
      <c r="F38" s="60">
        <v>7723573.6900000004</v>
      </c>
      <c r="G38" s="60">
        <v>2783941.37</v>
      </c>
      <c r="H38" s="60">
        <v>4349895.21</v>
      </c>
      <c r="I38" s="263">
        <v>8858000</v>
      </c>
      <c r="J38" s="48">
        <v>1732102.36</v>
      </c>
      <c r="K38" s="48">
        <v>3121241.77</v>
      </c>
      <c r="L38" s="48">
        <v>0</v>
      </c>
      <c r="M38" s="48">
        <v>3990827</v>
      </c>
      <c r="N38" s="48">
        <v>0</v>
      </c>
      <c r="O38" s="48">
        <v>0</v>
      </c>
      <c r="P38" s="425" t="str">
        <f t="shared" si="0"/>
        <v xml:space="preserve"> </v>
      </c>
      <c r="Q38" s="142">
        <f t="shared" si="1"/>
        <v>3990827</v>
      </c>
      <c r="R38" s="19">
        <f t="shared" si="2"/>
        <v>869585.23</v>
      </c>
    </row>
    <row r="39" spans="1:18" ht="12.75">
      <c r="A39" s="7">
        <v>358</v>
      </c>
      <c r="B39" s="8" t="s">
        <v>35</v>
      </c>
      <c r="C39" s="90">
        <v>334488</v>
      </c>
      <c r="D39" s="90">
        <v>279874</v>
      </c>
      <c r="E39" s="60">
        <v>275354.74</v>
      </c>
      <c r="F39" s="60">
        <v>479830.14</v>
      </c>
      <c r="G39" s="60">
        <v>250616.09</v>
      </c>
      <c r="H39" s="60">
        <v>497831.30</v>
      </c>
      <c r="I39" s="263">
        <v>0</v>
      </c>
      <c r="J39" s="48">
        <v>725407.17</v>
      </c>
      <c r="K39" s="48">
        <v>2407517</v>
      </c>
      <c r="L39" s="48">
        <v>0</v>
      </c>
      <c r="M39" s="48">
        <v>0</v>
      </c>
      <c r="N39" s="48">
        <v>0</v>
      </c>
      <c r="O39" s="48">
        <v>0</v>
      </c>
      <c r="P39" s="425" t="str">
        <f t="shared" si="0"/>
        <v xml:space="preserve"> </v>
      </c>
      <c r="Q39" s="142">
        <f t="shared" si="1"/>
        <v>0</v>
      </c>
      <c r="R39" s="19">
        <f t="shared" si="2"/>
        <v>-2407517</v>
      </c>
    </row>
    <row r="40" spans="1:18" ht="12.75">
      <c r="A40" s="7">
        <v>359</v>
      </c>
      <c r="B40" s="8" t="s">
        <v>139</v>
      </c>
      <c r="C40" s="90"/>
      <c r="D40" s="90"/>
      <c r="E40" s="60"/>
      <c r="F40" s="60"/>
      <c r="G40" s="60"/>
      <c r="H40" s="208"/>
      <c r="I40" s="263"/>
      <c r="J40" s="48"/>
      <c r="K40" s="48"/>
      <c r="L40" s="48">
        <v>0</v>
      </c>
      <c r="M40" s="48">
        <v>0</v>
      </c>
      <c r="N40" s="48">
        <v>0</v>
      </c>
      <c r="O40" s="48">
        <v>0</v>
      </c>
      <c r="P40" s="425" t="str">
        <f t="shared" si="0"/>
        <v xml:space="preserve"> </v>
      </c>
      <c r="Q40" s="142">
        <f t="shared" si="1"/>
        <v>0</v>
      </c>
      <c r="R40" s="19">
        <f t="shared" si="2"/>
        <v>0</v>
      </c>
    </row>
    <row r="41" spans="1:18" ht="12.75">
      <c r="A41" s="7">
        <v>361</v>
      </c>
      <c r="B41" s="8" t="s">
        <v>36</v>
      </c>
      <c r="C41" s="90">
        <v>11200348</v>
      </c>
      <c r="D41" s="90">
        <v>6144750</v>
      </c>
      <c r="E41" s="60">
        <v>15684423.02</v>
      </c>
      <c r="F41" s="60">
        <v>5538974.7699999996</v>
      </c>
      <c r="G41" s="60">
        <v>1731133.43</v>
      </c>
      <c r="H41" s="60">
        <v>6053551.5199999996</v>
      </c>
      <c r="I41" s="263">
        <v>0</v>
      </c>
      <c r="J41" s="48">
        <v>1241321.27</v>
      </c>
      <c r="K41" s="48">
        <v>89128.77</v>
      </c>
      <c r="L41" s="48">
        <v>0</v>
      </c>
      <c r="M41" s="48">
        <v>1192825</v>
      </c>
      <c r="N41" s="48">
        <v>0</v>
      </c>
      <c r="O41" s="48">
        <v>0</v>
      </c>
      <c r="P41" s="425" t="str">
        <f t="shared" si="0"/>
        <v xml:space="preserve"> </v>
      </c>
      <c r="Q41" s="142">
        <f t="shared" si="1"/>
        <v>1192825</v>
      </c>
      <c r="R41" s="19">
        <f t="shared" si="2"/>
        <v>1103696.23</v>
      </c>
    </row>
    <row r="42" spans="1:18" ht="17.25" customHeight="1">
      <c r="A42" s="7">
        <v>362</v>
      </c>
      <c r="B42" s="8" t="s">
        <v>164</v>
      </c>
      <c r="C42" s="90"/>
      <c r="D42" s="90"/>
      <c r="E42" s="60"/>
      <c r="F42" s="60"/>
      <c r="G42" s="60"/>
      <c r="H42" s="60"/>
      <c r="I42" s="263"/>
      <c r="J42" s="48"/>
      <c r="K42" s="48"/>
      <c r="L42" s="48">
        <v>0</v>
      </c>
      <c r="M42" s="48">
        <v>0</v>
      </c>
      <c r="N42" s="48">
        <v>0</v>
      </c>
      <c r="O42" s="48">
        <v>0</v>
      </c>
      <c r="P42" s="425" t="str">
        <f t="shared" si="0"/>
        <v xml:space="preserve"> </v>
      </c>
      <c r="Q42" s="142">
        <f t="shared" si="1"/>
        <v>0</v>
      </c>
      <c r="R42" s="19">
        <f t="shared" si="2"/>
        <v>0</v>
      </c>
    </row>
    <row r="43" spans="1:18" ht="25.5">
      <c r="A43" s="7">
        <v>371</v>
      </c>
      <c r="B43" s="188" t="s">
        <v>140</v>
      </c>
      <c r="C43" s="90"/>
      <c r="D43" s="90"/>
      <c r="E43" s="60"/>
      <c r="F43" s="60"/>
      <c r="G43" s="60"/>
      <c r="H43" s="208"/>
      <c r="I43" s="263"/>
      <c r="J43" s="48">
        <v>6000</v>
      </c>
      <c r="K43" s="48">
        <v>65324.01</v>
      </c>
      <c r="L43" s="48">
        <v>0</v>
      </c>
      <c r="M43" s="48">
        <v>0</v>
      </c>
      <c r="N43" s="48">
        <v>0</v>
      </c>
      <c r="O43" s="48">
        <v>0</v>
      </c>
      <c r="P43" s="425" t="str">
        <f t="shared" si="0"/>
        <v xml:space="preserve"> </v>
      </c>
      <c r="Q43" s="142">
        <f t="shared" si="1"/>
        <v>0</v>
      </c>
      <c r="R43" s="19">
        <f t="shared" si="2"/>
        <v>-65324.01</v>
      </c>
    </row>
    <row r="44" spans="1:18" ht="12.75">
      <c r="A44" s="7">
        <v>372</v>
      </c>
      <c r="B44" s="8" t="s">
        <v>37</v>
      </c>
      <c r="C44" s="90">
        <v>7616263</v>
      </c>
      <c r="D44" s="90">
        <v>8903373</v>
      </c>
      <c r="E44" s="60">
        <v>13230198</v>
      </c>
      <c r="F44" s="60">
        <v>8353485.29</v>
      </c>
      <c r="G44" s="60">
        <v>11857932</v>
      </c>
      <c r="H44" s="60">
        <v>7003186.2999999998</v>
      </c>
      <c r="I44" s="263">
        <v>6550000</v>
      </c>
      <c r="J44" s="48">
        <v>6771161</v>
      </c>
      <c r="K44" s="48">
        <v>8446072.8900000006</v>
      </c>
      <c r="L44" s="48">
        <v>6050000</v>
      </c>
      <c r="M44" s="48">
        <v>6050000</v>
      </c>
      <c r="N44" s="48">
        <v>6050000</v>
      </c>
      <c r="O44" s="48">
        <v>6050000</v>
      </c>
      <c r="P44" s="425">
        <f t="shared" si="0"/>
        <v>100</v>
      </c>
      <c r="Q44" s="142">
        <f t="shared" si="1"/>
        <v>0</v>
      </c>
      <c r="R44" s="19">
        <f t="shared" si="2"/>
        <v>-2396072.8900000006</v>
      </c>
    </row>
    <row r="45" spans="1:18" ht="12.75">
      <c r="A45" s="7">
        <v>373</v>
      </c>
      <c r="B45" s="8" t="s">
        <v>141</v>
      </c>
      <c r="C45" s="90"/>
      <c r="D45" s="90"/>
      <c r="E45" s="60"/>
      <c r="F45" s="60"/>
      <c r="G45" s="60"/>
      <c r="H45" s="60"/>
      <c r="I45" s="263"/>
      <c r="J45" s="48">
        <v>2000</v>
      </c>
      <c r="K45" s="48">
        <v>236086.02</v>
      </c>
      <c r="L45" s="48">
        <v>0</v>
      </c>
      <c r="M45" s="48">
        <v>0</v>
      </c>
      <c r="N45" s="48">
        <v>0</v>
      </c>
      <c r="O45" s="48">
        <v>0</v>
      </c>
      <c r="P45" s="425" t="str">
        <f t="shared" si="0"/>
        <v xml:space="preserve"> </v>
      </c>
      <c r="Q45" s="142">
        <f t="shared" si="1"/>
        <v>0</v>
      </c>
      <c r="R45" s="19">
        <f t="shared" si="2"/>
        <v>-236086.02</v>
      </c>
    </row>
    <row r="46" spans="1:18" ht="12.75">
      <c r="A46" s="7">
        <v>374</v>
      </c>
      <c r="B46" s="8" t="s">
        <v>38</v>
      </c>
      <c r="C46" s="90">
        <v>215322693</v>
      </c>
      <c r="D46" s="90">
        <v>143691033</v>
      </c>
      <c r="E46" s="60">
        <v>130999653.98</v>
      </c>
      <c r="F46" s="60">
        <v>91718350.459999993</v>
      </c>
      <c r="G46" s="60">
        <v>86702298.700000003</v>
      </c>
      <c r="H46" s="60">
        <v>106463897.62</v>
      </c>
      <c r="I46" s="263">
        <v>45000000</v>
      </c>
      <c r="J46" s="48">
        <v>91851798.930000007</v>
      </c>
      <c r="K46" s="48">
        <v>82391108.540000007</v>
      </c>
      <c r="L46" s="48">
        <v>25419905</v>
      </c>
      <c r="M46" s="48">
        <v>24000000</v>
      </c>
      <c r="N46" s="48">
        <v>24000000</v>
      </c>
      <c r="O46" s="48">
        <v>24000000</v>
      </c>
      <c r="P46" s="425">
        <f t="shared" si="0"/>
        <v>94.40</v>
      </c>
      <c r="Q46" s="142">
        <f t="shared" si="1"/>
        <v>-1419905</v>
      </c>
      <c r="R46" s="19">
        <f t="shared" si="2"/>
        <v>-58391108.540000007</v>
      </c>
    </row>
    <row r="47" spans="1:18" ht="12.75">
      <c r="A47" s="7">
        <v>375</v>
      </c>
      <c r="B47" s="8" t="s">
        <v>39</v>
      </c>
      <c r="C47" s="90">
        <v>12215223</v>
      </c>
      <c r="D47" s="90">
        <v>56860362</v>
      </c>
      <c r="E47" s="60">
        <v>180331028.96000001</v>
      </c>
      <c r="F47" s="60">
        <v>184960613.46000001</v>
      </c>
      <c r="G47" s="60">
        <v>176717790.99000001</v>
      </c>
      <c r="H47" s="60">
        <v>180244029.94</v>
      </c>
      <c r="I47" s="263">
        <v>170400000</v>
      </c>
      <c r="J47" s="48">
        <v>184899730.90000001</v>
      </c>
      <c r="K47" s="48">
        <v>185696959.34999999</v>
      </c>
      <c r="L47" s="48">
        <v>170400000</v>
      </c>
      <c r="M47" s="48">
        <v>170400000</v>
      </c>
      <c r="N47" s="48">
        <v>235361000</v>
      </c>
      <c r="O47" s="48">
        <v>235361000</v>
      </c>
      <c r="P47" s="425">
        <f t="shared" si="0"/>
        <v>100</v>
      </c>
      <c r="Q47" s="142">
        <f t="shared" si="1"/>
        <v>0</v>
      </c>
      <c r="R47" s="19">
        <f t="shared" si="2"/>
        <v>-15296959.349999994</v>
      </c>
    </row>
    <row r="48" spans="1:18" ht="12.75">
      <c r="A48" s="7">
        <v>376</v>
      </c>
      <c r="B48" s="8" t="s">
        <v>40</v>
      </c>
      <c r="C48" s="90"/>
      <c r="D48" s="90">
        <v>34156000</v>
      </c>
      <c r="E48" s="60">
        <v>40693817.68</v>
      </c>
      <c r="F48" s="60">
        <v>43804334.049999997</v>
      </c>
      <c r="G48" s="60">
        <v>43486874.189999998</v>
      </c>
      <c r="H48" s="60">
        <v>44834476.549999997</v>
      </c>
      <c r="I48" s="263">
        <v>47310525</v>
      </c>
      <c r="J48" s="48">
        <v>58390391.609999999</v>
      </c>
      <c r="K48" s="48">
        <v>65924669.600000001</v>
      </c>
      <c r="L48" s="48">
        <v>69450396</v>
      </c>
      <c r="M48" s="48">
        <v>69450396</v>
      </c>
      <c r="N48" s="48">
        <v>60962461</v>
      </c>
      <c r="O48" s="48">
        <v>63980469</v>
      </c>
      <c r="P48" s="425">
        <f t="shared" si="0"/>
        <v>100</v>
      </c>
      <c r="Q48" s="142">
        <f t="shared" si="1"/>
        <v>0</v>
      </c>
      <c r="R48" s="19">
        <f t="shared" si="2"/>
        <v>3525726.3999999985</v>
      </c>
    </row>
    <row r="49" spans="1:18" ht="12.75">
      <c r="A49" s="7">
        <v>377</v>
      </c>
      <c r="B49" s="8" t="s">
        <v>41</v>
      </c>
      <c r="C49" s="90">
        <v>154</v>
      </c>
      <c r="D49" s="90">
        <v>15618</v>
      </c>
      <c r="E49" s="60">
        <v>155113.26999999999</v>
      </c>
      <c r="F49" s="60">
        <v>2226516.54</v>
      </c>
      <c r="G49" s="60">
        <v>15453512.01</v>
      </c>
      <c r="H49" s="60">
        <v>6338779.04</v>
      </c>
      <c r="I49" s="263">
        <v>12974833</v>
      </c>
      <c r="J49" s="48">
        <v>11228554.609999999</v>
      </c>
      <c r="K49" s="48">
        <v>48189667.259999998</v>
      </c>
      <c r="L49" s="48">
        <v>100564659</v>
      </c>
      <c r="M49" s="48">
        <v>375160401</v>
      </c>
      <c r="N49" s="48">
        <v>0</v>
      </c>
      <c r="O49" s="48">
        <v>0</v>
      </c>
      <c r="P49" s="425">
        <f t="shared" si="0"/>
        <v>373.10</v>
      </c>
      <c r="Q49" s="142">
        <f t="shared" si="1"/>
        <v>274595742</v>
      </c>
      <c r="R49" s="19">
        <f t="shared" si="2"/>
        <v>326970733.74000001</v>
      </c>
    </row>
    <row r="50" spans="1:18" ht="25.5">
      <c r="A50" s="7">
        <v>378</v>
      </c>
      <c r="B50" s="188" t="s">
        <v>148</v>
      </c>
      <c r="C50" s="90"/>
      <c r="D50" s="90"/>
      <c r="E50" s="60"/>
      <c r="F50" s="60"/>
      <c r="G50" s="60"/>
      <c r="H50" s="60"/>
      <c r="I50" s="263"/>
      <c r="J50" s="48">
        <v>48.02</v>
      </c>
      <c r="K50" s="48">
        <v>21412778.559999999</v>
      </c>
      <c r="L50" s="48">
        <v>0</v>
      </c>
      <c r="M50" s="48">
        <v>400000</v>
      </c>
      <c r="N50" s="48">
        <v>400000</v>
      </c>
      <c r="O50" s="48">
        <v>400000</v>
      </c>
      <c r="P50" s="425" t="str">
        <f t="shared" si="0"/>
        <v xml:space="preserve"> </v>
      </c>
      <c r="Q50" s="142">
        <f t="shared" si="1"/>
        <v>400000</v>
      </c>
      <c r="R50" s="19">
        <f t="shared" si="2"/>
        <v>-21012778.559999999</v>
      </c>
    </row>
    <row r="51" spans="1:18" ht="12.75">
      <c r="A51" s="7">
        <v>381</v>
      </c>
      <c r="B51" s="8" t="s">
        <v>42</v>
      </c>
      <c r="C51" s="90">
        <v>939773</v>
      </c>
      <c r="D51" s="90">
        <v>1059861</v>
      </c>
      <c r="E51" s="60">
        <v>953149.61</v>
      </c>
      <c r="F51" s="60">
        <v>1247677</v>
      </c>
      <c r="G51" s="60">
        <v>1067615.49</v>
      </c>
      <c r="H51" s="60">
        <v>1230773.17</v>
      </c>
      <c r="I51" s="263">
        <v>397000</v>
      </c>
      <c r="J51" s="48">
        <v>1822242.58</v>
      </c>
      <c r="K51" s="48">
        <v>2289726.5499999998</v>
      </c>
      <c r="L51" s="48">
        <v>467940</v>
      </c>
      <c r="M51" s="48">
        <v>518140</v>
      </c>
      <c r="N51" s="48">
        <v>400000</v>
      </c>
      <c r="O51" s="48">
        <v>400000</v>
      </c>
      <c r="P51" s="425">
        <f t="shared" si="0"/>
        <v>110.70</v>
      </c>
      <c r="Q51" s="142">
        <f t="shared" si="1"/>
        <v>50200</v>
      </c>
      <c r="R51" s="19">
        <f t="shared" si="2"/>
        <v>-1771586.5499999998</v>
      </c>
    </row>
    <row r="52" spans="1:18" ht="12.75">
      <c r="A52" s="7">
        <v>396</v>
      </c>
      <c r="B52" s="8" t="s">
        <v>43</v>
      </c>
      <c r="C52" s="90">
        <v>10505829589</v>
      </c>
      <c r="D52" s="90">
        <v>15686928697</v>
      </c>
      <c r="E52" s="60">
        <v>6951670461.2399998</v>
      </c>
      <c r="F52" s="60">
        <v>7402168562.6700001</v>
      </c>
      <c r="G52" s="60">
        <v>7913735159.7200003</v>
      </c>
      <c r="H52" s="60">
        <v>210713.80</v>
      </c>
      <c r="I52" s="263">
        <v>0</v>
      </c>
      <c r="J52" s="48">
        <v>383911168.64999998</v>
      </c>
      <c r="K52" s="48">
        <v>76220.44</v>
      </c>
      <c r="L52" s="48">
        <v>0</v>
      </c>
      <c r="M52" s="48">
        <v>0</v>
      </c>
      <c r="N52" s="48">
        <v>0</v>
      </c>
      <c r="O52" s="48">
        <v>0</v>
      </c>
      <c r="P52" s="425" t="str">
        <f t="shared" si="0"/>
        <v xml:space="preserve"> </v>
      </c>
      <c r="Q52" s="142">
        <f t="shared" si="1"/>
        <v>0</v>
      </c>
      <c r="R52" s="19">
        <f t="shared" si="2"/>
        <v>-76220.44</v>
      </c>
    </row>
    <row r="53" spans="1:18" ht="12.75">
      <c r="A53" s="7">
        <v>397</v>
      </c>
      <c r="B53" s="8" t="s">
        <v>44</v>
      </c>
      <c r="C53" s="90">
        <v>3996491287</v>
      </c>
      <c r="D53" s="90">
        <v>3599648113</v>
      </c>
      <c r="E53" s="60">
        <v>3511711798.8099999</v>
      </c>
      <c r="F53" s="60">
        <v>3339658563.3200002</v>
      </c>
      <c r="G53" s="60">
        <v>3240634149.48</v>
      </c>
      <c r="H53" s="60">
        <v>1727016746.04</v>
      </c>
      <c r="I53" s="263">
        <v>2171500000</v>
      </c>
      <c r="J53" s="48">
        <v>2634502274.5799999</v>
      </c>
      <c r="K53" s="48">
        <v>2277661632.73</v>
      </c>
      <c r="L53" s="48">
        <v>5076500000</v>
      </c>
      <c r="M53" s="48">
        <v>5191500000</v>
      </c>
      <c r="N53" s="48">
        <v>5211500000</v>
      </c>
      <c r="O53" s="48">
        <v>5241500000</v>
      </c>
      <c r="P53" s="425">
        <f t="shared" si="0"/>
        <v>102.30</v>
      </c>
      <c r="Q53" s="142">
        <f t="shared" si="1"/>
        <v>115000000</v>
      </c>
      <c r="R53" s="19">
        <f t="shared" si="2"/>
        <v>2913838367.27</v>
      </c>
    </row>
    <row r="54" spans="1:18" ht="12.75">
      <c r="A54" s="7">
        <v>398</v>
      </c>
      <c r="B54" s="8" t="s">
        <v>45</v>
      </c>
      <c r="C54" s="90">
        <v>523600418570</v>
      </c>
      <c r="D54" s="90">
        <v>556118324695</v>
      </c>
      <c r="E54" s="60">
        <v>566581703485.82996</v>
      </c>
      <c r="F54" s="60">
        <v>580159382670.76001</v>
      </c>
      <c r="G54" s="60">
        <v>608546689726.53003</v>
      </c>
      <c r="H54" s="60">
        <v>657282642146.17004</v>
      </c>
      <c r="I54" s="263">
        <v>677618301800</v>
      </c>
      <c r="J54" s="48">
        <v>697803050392.44995</v>
      </c>
      <c r="K54" s="48">
        <v>726534403016.35999</v>
      </c>
      <c r="L54" s="48">
        <v>784811999860</v>
      </c>
      <c r="M54" s="48">
        <v>825050470800</v>
      </c>
      <c r="N54" s="48">
        <v>854823820800</v>
      </c>
      <c r="O54" s="48">
        <v>884218320800</v>
      </c>
      <c r="P54" s="425">
        <f t="shared" si="0"/>
        <v>105.10</v>
      </c>
      <c r="Q54" s="142">
        <f t="shared" si="1"/>
        <v>40238470940</v>
      </c>
      <c r="R54" s="19">
        <f t="shared" si="2"/>
        <v>98516067783.640015</v>
      </c>
    </row>
    <row r="55" spans="1:18" ht="12.75">
      <c r="A55" s="9"/>
      <c r="B55" s="10"/>
      <c r="C55" s="152"/>
      <c r="D55" s="152"/>
      <c r="E55" s="58"/>
      <c r="F55" s="58"/>
      <c r="G55" s="58"/>
      <c r="H55" s="58"/>
      <c r="I55" s="263"/>
      <c r="J55" s="48"/>
      <c r="K55" s="48"/>
      <c r="L55" s="6"/>
      <c r="M55" s="11"/>
      <c r="N55" s="11"/>
      <c r="O55" s="11"/>
      <c r="P55" s="140" t="str">
        <f t="shared" si="3" ref="P55:P56">IF(I55=0," ",IF(I55&gt;0,ROUND(L55/I55*100,1)))</f>
        <v xml:space="preserve"> </v>
      </c>
      <c r="Q55" s="142"/>
      <c r="R55" s="19"/>
    </row>
    <row r="56" spans="1:18" ht="13.5" thickBot="1">
      <c r="A56" s="12"/>
      <c r="B56" s="13"/>
      <c r="C56" s="153"/>
      <c r="D56" s="153"/>
      <c r="E56" s="59"/>
      <c r="F56" s="59"/>
      <c r="G56" s="59"/>
      <c r="H56" s="59"/>
      <c r="I56" s="428"/>
      <c r="J56" s="138"/>
      <c r="K56" s="138"/>
      <c r="L56" s="14"/>
      <c r="M56" s="14"/>
      <c r="N56" s="14"/>
      <c r="O56" s="14"/>
      <c r="P56" s="141" t="str">
        <f t="shared" si="3"/>
        <v xml:space="preserve"> </v>
      </c>
      <c r="Q56" s="274"/>
      <c r="R56" s="24"/>
    </row>
    <row r="57" spans="1:18" ht="17.25" customHeight="1" thickTop="1" thickBot="1">
      <c r="A57" s="15"/>
      <c r="B57" s="16" t="s">
        <v>46</v>
      </c>
      <c r="C57" s="93">
        <f t="shared" si="4" ref="C57:R57">SUM(C8:C56)</f>
        <v>1012755373190</v>
      </c>
      <c r="D57" s="93">
        <f t="shared" si="4"/>
        <v>1051386869310</v>
      </c>
      <c r="E57" s="17">
        <f t="shared" si="4"/>
        <v>1091863396381.02</v>
      </c>
      <c r="F57" s="17">
        <f t="shared" si="4"/>
        <v>1133825907909.98</v>
      </c>
      <c r="G57" s="17">
        <f t="shared" si="4"/>
        <v>1234517345058.7397</v>
      </c>
      <c r="H57" s="17">
        <f>SUM(H8:H56)</f>
        <v>1281617559724.2905</v>
      </c>
      <c r="I57" s="429">
        <f t="shared" si="4"/>
        <v>1249272037180</v>
      </c>
      <c r="J57" s="93">
        <f t="shared" si="4"/>
        <v>1273644382120.02</v>
      </c>
      <c r="K57" s="93">
        <f t="shared" si="4"/>
        <v>1403918022071.73</v>
      </c>
      <c r="L57" s="17">
        <f t="shared" si="4"/>
        <v>1465359071851</v>
      </c>
      <c r="M57" s="17">
        <f t="shared" si="4"/>
        <v>1558142507889</v>
      </c>
      <c r="N57" s="17">
        <f t="shared" si="4"/>
        <v>1501543375088</v>
      </c>
      <c r="O57" s="17">
        <f t="shared" si="4"/>
        <v>1565091238487</v>
      </c>
      <c r="P57" s="426">
        <f t="shared" si="5" ref="P57">IF(L57=0," ",IF(L57&gt;0,ROUND(M57/L57*100,1)))</f>
        <v>106.30</v>
      </c>
      <c r="Q57" s="143">
        <f t="shared" si="4"/>
        <v>92783436038</v>
      </c>
      <c r="R57" s="47">
        <f t="shared" si="4"/>
        <v>154224485817.27002</v>
      </c>
    </row>
    <row r="58" ht="12.75">
      <c r="P58" s="320"/>
    </row>
    <row r="59" spans="12:15" ht="12.75">
      <c r="L59" s="2"/>
      <c r="M59" s="2"/>
      <c r="N59" s="2"/>
      <c r="O59" s="2"/>
    </row>
  </sheetData>
  <mergeCells count="1">
    <mergeCell ref="B5:L5"/>
  </mergeCells>
  <printOptions horizontalCentered="1"/>
  <pageMargins left="0.275590551181102" right="0.236220472440945" top="0.590551181102362" bottom="0.511811023622047" header="0.433070866141732" footer="0.31496062992126"/>
  <pageSetup orientation="landscape" paperSize="9" scale="6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60"/>
  <sheetViews>
    <sheetView zoomScale="87" zoomScaleNormal="87" workbookViewId="0" topLeftCell="A1">
      <pane xSplit="2" ySplit="7" topLeftCell="C44" activePane="bottomRight" state="frozen"/>
      <selection pane="topLeft" activeCell="P16" sqref="P16"/>
      <selection pane="bottomLeft" activeCell="P16" sqref="P16"/>
      <selection pane="topRight" activeCell="P16" sqref="P16"/>
      <selection pane="bottomRight" activeCell="G72" sqref="G72"/>
    </sheetView>
  </sheetViews>
  <sheetFormatPr defaultColWidth="8.1640625" defaultRowHeight="12.75"/>
  <cols>
    <col min="1" max="1" width="8.14285714285714" style="1"/>
    <col min="2" max="2" width="42.7142857142857" style="1" customWidth="1"/>
    <col min="3" max="3" width="0" style="1" hidden="1" customWidth="1"/>
    <col min="4" max="4" width="0" style="1" hidden="1" customWidth="1"/>
    <col min="5" max="6" width="0" style="1" hidden="1" customWidth="1"/>
    <col min="7" max="8" width="18.7142857142857" style="1" customWidth="1"/>
    <col min="9" max="9" width="0" style="1" hidden="1" customWidth="1"/>
    <col min="10" max="11" width="18.7142857142857" style="1" customWidth="1"/>
    <col min="12" max="13" width="18.1428571428571" style="1" customWidth="1"/>
    <col min="14" max="14" width="18.7142857142857" style="1" bestFit="1" customWidth="1"/>
    <col min="15" max="15" width="18.7142857142857" style="1" customWidth="1"/>
    <col min="16" max="16" width="12.8571428571429" style="1" customWidth="1"/>
    <col min="17" max="17" width="22.1428571428571" style="1" customWidth="1"/>
    <col min="18" max="18" width="18.2857142857143" style="1" customWidth="1"/>
    <col min="19" max="19" width="15.8571428571429" style="1" bestFit="1" customWidth="1"/>
    <col min="20" max="20" width="19.5714285714286" style="1" bestFit="1" customWidth="1"/>
    <col min="21" max="16384" width="8.14285714285714" style="1"/>
  </cols>
  <sheetData>
    <row r="1" s="151" customFormat="1" ht="12.75">
      <c r="N1" s="151" t="s">
        <v>48</v>
      </c>
    </row>
    <row r="2" s="151" customFormat="1" ht="12.75"/>
    <row r="3" spans="2:8" s="151" customFormat="1" ht="14.25">
      <c r="B3" s="3" t="s">
        <v>170</v>
      </c>
      <c r="C3" s="3"/>
      <c r="D3" s="3"/>
      <c r="E3" s="3"/>
      <c r="F3" s="3"/>
      <c r="G3" s="3"/>
      <c r="H3" s="3"/>
    </row>
    <row r="4" s="151" customFormat="1" ht="12.75">
      <c r="B4" s="244" t="s">
        <v>195</v>
      </c>
    </row>
    <row r="5" spans="2:16" s="151" customFormat="1" ht="12.75"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03"/>
      <c r="P5" s="503"/>
    </row>
    <row r="6" s="151" customFormat="1" ht="13.5" thickBot="1">
      <c r="O6" s="322" t="s">
        <v>1</v>
      </c>
    </row>
    <row r="7" spans="1:20" ht="41.25" customHeight="1" thickBot="1">
      <c r="A7" s="49" t="s">
        <v>2</v>
      </c>
      <c r="B7" s="50" t="s">
        <v>3</v>
      </c>
      <c r="C7" s="56" t="s">
        <v>65</v>
      </c>
      <c r="D7" s="56" t="s">
        <v>59</v>
      </c>
      <c r="E7" s="56" t="s">
        <v>63</v>
      </c>
      <c r="F7" s="56" t="s">
        <v>124</v>
      </c>
      <c r="G7" s="56" t="s">
        <v>125</v>
      </c>
      <c r="H7" s="56" t="s">
        <v>142</v>
      </c>
      <c r="I7" s="56" t="s">
        <v>143</v>
      </c>
      <c r="J7" s="85" t="s">
        <v>149</v>
      </c>
      <c r="K7" s="85" t="s">
        <v>165</v>
      </c>
      <c r="L7" s="51">
        <v>2019</v>
      </c>
      <c r="M7" s="137">
        <v>2020</v>
      </c>
      <c r="N7" s="51">
        <v>2021</v>
      </c>
      <c r="O7" s="51">
        <v>2022</v>
      </c>
      <c r="P7" s="144" t="s">
        <v>144</v>
      </c>
      <c r="Q7" s="85" t="s">
        <v>166</v>
      </c>
      <c r="R7" s="85" t="s">
        <v>167</v>
      </c>
      <c r="S7" s="68" t="s">
        <v>152</v>
      </c>
      <c r="T7" s="132" t="s">
        <v>168</v>
      </c>
    </row>
    <row r="8" spans="1:20" ht="12.75">
      <c r="A8" s="4">
        <v>301</v>
      </c>
      <c r="B8" s="5" t="s">
        <v>4</v>
      </c>
      <c r="C8" s="60">
        <v>515038.43</v>
      </c>
      <c r="D8" s="60">
        <v>422422.29</v>
      </c>
      <c r="E8" s="60">
        <v>947190.83</v>
      </c>
      <c r="F8" s="60">
        <v>774979</v>
      </c>
      <c r="G8" s="60">
        <v>261394.25</v>
      </c>
      <c r="H8" s="60">
        <v>153109.90</v>
      </c>
      <c r="I8" s="48">
        <v>60000</v>
      </c>
      <c r="J8" s="48">
        <v>181329.06</v>
      </c>
      <c r="K8" s="48">
        <v>93689.75</v>
      </c>
      <c r="L8" s="48">
        <v>60000</v>
      </c>
      <c r="M8" s="48">
        <v>60000</v>
      </c>
      <c r="N8" s="48">
        <v>60000</v>
      </c>
      <c r="O8" s="48">
        <v>60000</v>
      </c>
      <c r="P8" s="425">
        <f>IF(L8=0," ",IF(L8&gt;0,ROUND(M8/L8*100,1)))</f>
        <v>100</v>
      </c>
      <c r="Q8" s="6">
        <f>M8-L8</f>
        <v>0</v>
      </c>
      <c r="R8" s="6">
        <f>M8-K8</f>
        <v>-33689.75</v>
      </c>
      <c r="S8" s="149">
        <f>N8-M8</f>
        <v>0</v>
      </c>
      <c r="T8" s="19">
        <f>O8-N8</f>
        <v>0</v>
      </c>
    </row>
    <row r="9" spans="1:20" ht="12.75">
      <c r="A9" s="7">
        <v>302</v>
      </c>
      <c r="B9" s="8" t="s">
        <v>5</v>
      </c>
      <c r="C9" s="60">
        <v>17842660.859999999</v>
      </c>
      <c r="D9" s="60">
        <v>16309369.109999999</v>
      </c>
      <c r="E9" s="60">
        <v>15551409.709999999</v>
      </c>
      <c r="F9" s="60">
        <v>16804792</v>
      </c>
      <c r="G9" s="60">
        <v>17957835.91</v>
      </c>
      <c r="H9" s="60">
        <v>17447724.300000001</v>
      </c>
      <c r="I9" s="48">
        <v>16000000</v>
      </c>
      <c r="J9" s="48">
        <v>17313179.52</v>
      </c>
      <c r="K9" s="48">
        <v>18508606.670000002</v>
      </c>
      <c r="L9" s="48">
        <v>16000000</v>
      </c>
      <c r="M9" s="48">
        <v>16000000</v>
      </c>
      <c r="N9" s="48">
        <v>16000000</v>
      </c>
      <c r="O9" s="48">
        <v>16000000</v>
      </c>
      <c r="P9" s="425">
        <f t="shared" si="0" ref="P9:P54">IF(L9=0," ",IF(L9&gt;0,ROUND(M9/L9*100,1)))</f>
        <v>100</v>
      </c>
      <c r="Q9" s="6">
        <f t="shared" si="1" ref="Q9:Q54">M9-L9</f>
        <v>0</v>
      </c>
      <c r="R9" s="6">
        <f t="shared" si="2" ref="R9:R54">M9-K9</f>
        <v>-2508606.6700000018</v>
      </c>
      <c r="S9" s="149">
        <f t="shared" si="3" ref="S9:T54">N9-M9</f>
        <v>0</v>
      </c>
      <c r="T9" s="19">
        <f t="shared" si="3"/>
        <v>0</v>
      </c>
    </row>
    <row r="10" spans="1:20" ht="12.75">
      <c r="A10" s="7">
        <v>303</v>
      </c>
      <c r="B10" s="8" t="s">
        <v>6</v>
      </c>
      <c r="C10" s="60">
        <v>4994196.9800000004</v>
      </c>
      <c r="D10" s="60">
        <v>4798207.0599999996</v>
      </c>
      <c r="E10" s="60">
        <v>4488795.8099999996</v>
      </c>
      <c r="F10" s="60">
        <v>4779643</v>
      </c>
      <c r="G10" s="60">
        <v>4663316.71</v>
      </c>
      <c r="H10" s="60">
        <v>4747152.03</v>
      </c>
      <c r="I10" s="48">
        <v>2500000</v>
      </c>
      <c r="J10" s="48">
        <v>4009183.44</v>
      </c>
      <c r="K10" s="48">
        <v>4268193.71</v>
      </c>
      <c r="L10" s="48">
        <v>2700000</v>
      </c>
      <c r="M10" s="48">
        <v>2900000</v>
      </c>
      <c r="N10" s="48">
        <v>2900000</v>
      </c>
      <c r="O10" s="48">
        <v>2900000</v>
      </c>
      <c r="P10" s="425">
        <f t="shared" si="0"/>
        <v>107.40</v>
      </c>
      <c r="Q10" s="6">
        <f t="shared" si="1"/>
        <v>200000</v>
      </c>
      <c r="R10" s="6">
        <f t="shared" si="2"/>
        <v>-1368193.71</v>
      </c>
      <c r="S10" s="149">
        <f t="shared" si="3"/>
        <v>0</v>
      </c>
      <c r="T10" s="19">
        <f t="shared" si="3"/>
        <v>0</v>
      </c>
    </row>
    <row r="11" spans="1:20" ht="12.75">
      <c r="A11" s="7">
        <v>304</v>
      </c>
      <c r="B11" s="8" t="s">
        <v>7</v>
      </c>
      <c r="C11" s="60">
        <v>2385238.19</v>
      </c>
      <c r="D11" s="60">
        <v>1428257.60</v>
      </c>
      <c r="E11" s="60">
        <v>4079265.89</v>
      </c>
      <c r="F11" s="60">
        <v>2057773</v>
      </c>
      <c r="G11" s="60">
        <v>5025203.09</v>
      </c>
      <c r="H11" s="60">
        <v>2600477.21</v>
      </c>
      <c r="I11" s="48">
        <v>1200000</v>
      </c>
      <c r="J11" s="48">
        <v>2931454.64</v>
      </c>
      <c r="K11" s="48">
        <v>2453711.90</v>
      </c>
      <c r="L11" s="48">
        <v>1500000</v>
      </c>
      <c r="M11" s="48">
        <v>1500000</v>
      </c>
      <c r="N11" s="48">
        <v>1500000</v>
      </c>
      <c r="O11" s="48">
        <v>1500000</v>
      </c>
      <c r="P11" s="425">
        <f t="shared" si="0"/>
        <v>100</v>
      </c>
      <c r="Q11" s="6">
        <f t="shared" si="1"/>
        <v>0</v>
      </c>
      <c r="R11" s="6">
        <f t="shared" si="2"/>
        <v>-953711.89999999991</v>
      </c>
      <c r="S11" s="149">
        <f t="shared" si="3"/>
        <v>0</v>
      </c>
      <c r="T11" s="19">
        <f t="shared" si="3"/>
        <v>0</v>
      </c>
    </row>
    <row r="12" spans="1:20" ht="12.75">
      <c r="A12" s="7">
        <v>305</v>
      </c>
      <c r="B12" s="8" t="s">
        <v>8</v>
      </c>
      <c r="C12" s="60">
        <v>146272116.29999998</v>
      </c>
      <c r="D12" s="60">
        <v>141415846.19999999</v>
      </c>
      <c r="E12" s="60">
        <v>139955480.92000002</v>
      </c>
      <c r="F12" s="60">
        <v>148123484</v>
      </c>
      <c r="G12" s="60">
        <v>156658768.91</v>
      </c>
      <c r="H12" s="60">
        <v>162196625.03999999</v>
      </c>
      <c r="I12" s="48">
        <v>146700000</v>
      </c>
      <c r="J12" s="48">
        <v>174252461.81</v>
      </c>
      <c r="K12" s="48">
        <v>202265407.84999999</v>
      </c>
      <c r="L12" s="48">
        <v>160000000</v>
      </c>
      <c r="M12" s="48">
        <v>190000000</v>
      </c>
      <c r="N12" s="48">
        <v>190000000</v>
      </c>
      <c r="O12" s="48">
        <v>190000000</v>
      </c>
      <c r="P12" s="425">
        <f t="shared" si="0"/>
        <v>118.80</v>
      </c>
      <c r="Q12" s="6">
        <f t="shared" si="1"/>
        <v>30000000</v>
      </c>
      <c r="R12" s="6">
        <f t="shared" si="2"/>
        <v>-12265407.849999994</v>
      </c>
      <c r="S12" s="149">
        <f t="shared" si="3"/>
        <v>0</v>
      </c>
      <c r="T12" s="19">
        <f t="shared" si="3"/>
        <v>0</v>
      </c>
    </row>
    <row r="13" spans="1:20" ht="12.75">
      <c r="A13" s="7">
        <v>306</v>
      </c>
      <c r="B13" s="8" t="s">
        <v>9</v>
      </c>
      <c r="C13" s="60">
        <v>701490054.47000003</v>
      </c>
      <c r="D13" s="60">
        <v>1219628131.49</v>
      </c>
      <c r="E13" s="60">
        <v>852801948.16000009</v>
      </c>
      <c r="F13" s="60">
        <v>747768965</v>
      </c>
      <c r="G13" s="60">
        <v>730286256.10000002</v>
      </c>
      <c r="H13" s="60">
        <v>676021680.65999997</v>
      </c>
      <c r="I13" s="48">
        <v>726000000</v>
      </c>
      <c r="J13" s="48">
        <v>860883871.46000004</v>
      </c>
      <c r="K13" s="48">
        <v>918393931.75</v>
      </c>
      <c r="L13" s="48">
        <v>940000000</v>
      </c>
      <c r="M13" s="48">
        <v>920000000</v>
      </c>
      <c r="N13" s="48">
        <v>920000000</v>
      </c>
      <c r="O13" s="48">
        <v>920000000</v>
      </c>
      <c r="P13" s="425">
        <f t="shared" si="0"/>
        <v>97.90</v>
      </c>
      <c r="Q13" s="6">
        <f t="shared" si="1"/>
        <v>-20000000</v>
      </c>
      <c r="R13" s="6">
        <f t="shared" si="2"/>
        <v>1606068.25</v>
      </c>
      <c r="S13" s="149">
        <f t="shared" si="3"/>
        <v>0</v>
      </c>
      <c r="T13" s="19">
        <f t="shared" si="3"/>
        <v>0</v>
      </c>
    </row>
    <row r="14" spans="1:20" ht="12.75">
      <c r="A14" s="7">
        <v>307</v>
      </c>
      <c r="B14" s="8" t="s">
        <v>10</v>
      </c>
      <c r="C14" s="60">
        <v>3787736517.79</v>
      </c>
      <c r="D14" s="60">
        <v>3934635077.5999999</v>
      </c>
      <c r="E14" s="60">
        <v>3553628549.0699997</v>
      </c>
      <c r="F14" s="60">
        <v>3903358233</v>
      </c>
      <c r="G14" s="60">
        <v>4062056420.8800001</v>
      </c>
      <c r="H14" s="60">
        <v>5237884976.1599998</v>
      </c>
      <c r="I14" s="48">
        <v>4815632496</v>
      </c>
      <c r="J14" s="48">
        <v>5082451566.6099997</v>
      </c>
      <c r="K14" s="48">
        <v>5289683938.0500002</v>
      </c>
      <c r="L14" s="48">
        <v>5081202197</v>
      </c>
      <c r="M14" s="48">
        <v>4955535622</v>
      </c>
      <c r="N14" s="48">
        <v>5208355074</v>
      </c>
      <c r="O14" s="48">
        <v>5550263464</v>
      </c>
      <c r="P14" s="425">
        <f t="shared" si="0"/>
        <v>97.50</v>
      </c>
      <c r="Q14" s="6">
        <f t="shared" si="1"/>
        <v>-125666575</v>
      </c>
      <c r="R14" s="6">
        <f t="shared" si="2"/>
        <v>-334148316.05000019</v>
      </c>
      <c r="S14" s="149">
        <f t="shared" si="3"/>
        <v>252819452</v>
      </c>
      <c r="T14" s="19">
        <f t="shared" si="3"/>
        <v>341908390</v>
      </c>
    </row>
    <row r="15" spans="1:20" ht="12.75">
      <c r="A15" s="7">
        <v>308</v>
      </c>
      <c r="B15" s="8" t="s">
        <v>11</v>
      </c>
      <c r="C15" s="60">
        <v>1123568.98</v>
      </c>
      <c r="D15" s="60">
        <v>1240903.27</v>
      </c>
      <c r="E15" s="60">
        <v>715820.56</v>
      </c>
      <c r="F15" s="60">
        <v>931318</v>
      </c>
      <c r="G15" s="60">
        <v>1273586.6599999999</v>
      </c>
      <c r="H15" s="60">
        <v>1304455.1599999999</v>
      </c>
      <c r="I15" s="48">
        <v>800000</v>
      </c>
      <c r="J15" s="48">
        <v>1134353.8400000001</v>
      </c>
      <c r="K15" s="48">
        <v>2234907.9500000002</v>
      </c>
      <c r="L15" s="48">
        <v>800000</v>
      </c>
      <c r="M15" s="48">
        <v>800000</v>
      </c>
      <c r="N15" s="48">
        <v>800000</v>
      </c>
      <c r="O15" s="48">
        <v>800000</v>
      </c>
      <c r="P15" s="425">
        <f t="shared" si="0"/>
        <v>100</v>
      </c>
      <c r="Q15" s="6">
        <f t="shared" si="1"/>
        <v>0</v>
      </c>
      <c r="R15" s="6">
        <f t="shared" si="2"/>
        <v>-1434907.9500000002</v>
      </c>
      <c r="S15" s="149">
        <f t="shared" si="3"/>
        <v>0</v>
      </c>
      <c r="T15" s="19">
        <f t="shared" si="3"/>
        <v>0</v>
      </c>
    </row>
    <row r="16" spans="1:20" ht="12.75">
      <c r="A16" s="7">
        <v>309</v>
      </c>
      <c r="B16" s="8" t="s">
        <v>12</v>
      </c>
      <c r="C16" s="60">
        <v>1073988.1100000001</v>
      </c>
      <c r="D16" s="60">
        <v>1042990.84</v>
      </c>
      <c r="E16" s="60">
        <v>1968037.21</v>
      </c>
      <c r="F16" s="60">
        <v>1482460</v>
      </c>
      <c r="G16" s="60">
        <v>1433836.82</v>
      </c>
      <c r="H16" s="60">
        <v>399348.25</v>
      </c>
      <c r="I16" s="48">
        <v>150000</v>
      </c>
      <c r="J16" s="48">
        <v>446328.83</v>
      </c>
      <c r="K16" s="48">
        <v>610171.56999999995</v>
      </c>
      <c r="L16" s="48">
        <v>250000</v>
      </c>
      <c r="M16" s="48">
        <v>250000</v>
      </c>
      <c r="N16" s="48">
        <v>250000</v>
      </c>
      <c r="O16" s="48">
        <v>250000</v>
      </c>
      <c r="P16" s="425">
        <f t="shared" si="0"/>
        <v>100</v>
      </c>
      <c r="Q16" s="6">
        <f t="shared" si="1"/>
        <v>0</v>
      </c>
      <c r="R16" s="6">
        <f t="shared" si="2"/>
        <v>-360171.56999999995</v>
      </c>
      <c r="S16" s="149">
        <f t="shared" si="3"/>
        <v>0</v>
      </c>
      <c r="T16" s="19">
        <f t="shared" si="3"/>
        <v>0</v>
      </c>
    </row>
    <row r="17" spans="1:20" ht="12.75">
      <c r="A17" s="7">
        <v>312</v>
      </c>
      <c r="B17" s="8" t="s">
        <v>13</v>
      </c>
      <c r="C17" s="60">
        <v>5283939838.6300011</v>
      </c>
      <c r="D17" s="60">
        <v>4625790759.4399996</v>
      </c>
      <c r="E17" s="60">
        <v>4062853345.8499999</v>
      </c>
      <c r="F17" s="60">
        <v>6098082110</v>
      </c>
      <c r="G17" s="60">
        <v>7625969989.5299997</v>
      </c>
      <c r="H17" s="60">
        <v>7208518511.8999996</v>
      </c>
      <c r="I17" s="6">
        <v>4489544824</v>
      </c>
      <c r="J17" s="6">
        <v>4986624523.5799999</v>
      </c>
      <c r="K17" s="6">
        <v>7847267812.9200001</v>
      </c>
      <c r="L17" s="48">
        <v>4910720636</v>
      </c>
      <c r="M17" s="48">
        <v>4964676436</v>
      </c>
      <c r="N17" s="48">
        <v>4999735112</v>
      </c>
      <c r="O17" s="48">
        <v>4905231991</v>
      </c>
      <c r="P17" s="425">
        <f t="shared" si="0"/>
        <v>101.10</v>
      </c>
      <c r="Q17" s="6">
        <f t="shared" si="1"/>
        <v>53955800</v>
      </c>
      <c r="R17" s="6">
        <f t="shared" si="2"/>
        <v>-2882591376.9200001</v>
      </c>
      <c r="S17" s="149">
        <f t="shared" si="3"/>
        <v>35058676</v>
      </c>
      <c r="T17" s="19">
        <f t="shared" si="3"/>
        <v>-94503121</v>
      </c>
    </row>
    <row r="18" spans="1:20" ht="12.75">
      <c r="A18" s="7">
        <v>313</v>
      </c>
      <c r="B18" s="8" t="s">
        <v>14</v>
      </c>
      <c r="C18" s="60">
        <v>359440895784.53003</v>
      </c>
      <c r="D18" s="60">
        <v>363680976602.08002</v>
      </c>
      <c r="E18" s="60">
        <v>364581621072.09998</v>
      </c>
      <c r="F18" s="60">
        <v>374780319436</v>
      </c>
      <c r="G18" s="60">
        <v>396095113048.64001</v>
      </c>
      <c r="H18" s="60">
        <v>418889085399.69</v>
      </c>
      <c r="I18" s="6">
        <v>436521645333</v>
      </c>
      <c r="J18" s="6">
        <v>455796295569.59998</v>
      </c>
      <c r="K18" s="6">
        <v>500910980398.14001</v>
      </c>
      <c r="L18" s="6">
        <v>542648611534</v>
      </c>
      <c r="M18" s="48">
        <v>564104583125</v>
      </c>
      <c r="N18" s="48">
        <v>594809291727</v>
      </c>
      <c r="O18" s="48">
        <v>624195027073</v>
      </c>
      <c r="P18" s="425">
        <f t="shared" si="0"/>
        <v>104</v>
      </c>
      <c r="Q18" s="6">
        <f t="shared" si="1"/>
        <v>21455971591</v>
      </c>
      <c r="R18" s="6">
        <f t="shared" si="2"/>
        <v>63193602726.859985</v>
      </c>
      <c r="S18" s="149">
        <f t="shared" si="3"/>
        <v>30704708602</v>
      </c>
      <c r="T18" s="19">
        <f t="shared" si="3"/>
        <v>29385735346</v>
      </c>
    </row>
    <row r="19" spans="1:20" ht="12.75">
      <c r="A19" s="7">
        <v>314</v>
      </c>
      <c r="B19" s="8" t="s">
        <v>15</v>
      </c>
      <c r="C19" s="60">
        <v>6923067158.0299997</v>
      </c>
      <c r="D19" s="60">
        <v>6604181575.9299994</v>
      </c>
      <c r="E19" s="60">
        <v>6520895754.3099995</v>
      </c>
      <c r="F19" s="60">
        <v>6757109017</v>
      </c>
      <c r="G19" s="60">
        <v>7477089111.7700005</v>
      </c>
      <c r="H19" s="60">
        <v>8222109786.1899996</v>
      </c>
      <c r="I19" s="6">
        <v>7416563255</v>
      </c>
      <c r="J19" s="6">
        <v>8651365311.2199993</v>
      </c>
      <c r="K19" s="6">
        <v>10092816249.030001</v>
      </c>
      <c r="L19" s="6">
        <v>8962355333</v>
      </c>
      <c r="M19" s="6">
        <v>9297502913</v>
      </c>
      <c r="N19" s="48">
        <v>9473182269</v>
      </c>
      <c r="O19" s="48">
        <v>9918398734</v>
      </c>
      <c r="P19" s="425">
        <f t="shared" si="0"/>
        <v>103.70</v>
      </c>
      <c r="Q19" s="6">
        <f t="shared" si="1"/>
        <v>335147580</v>
      </c>
      <c r="R19" s="6">
        <f t="shared" si="2"/>
        <v>-795313336.03000069</v>
      </c>
      <c r="S19" s="149">
        <f t="shared" si="3"/>
        <v>175679356</v>
      </c>
      <c r="T19" s="19">
        <f t="shared" si="3"/>
        <v>445216465</v>
      </c>
    </row>
    <row r="20" spans="1:20" ht="12.75">
      <c r="A20" s="7">
        <v>315</v>
      </c>
      <c r="B20" s="8" t="s">
        <v>16</v>
      </c>
      <c r="C20" s="60">
        <v>184283236.12999883</v>
      </c>
      <c r="D20" s="60">
        <v>371483229.22000009</v>
      </c>
      <c r="E20" s="60">
        <v>2367812867.96</v>
      </c>
      <c r="F20" s="60">
        <v>1670092326</v>
      </c>
      <c r="G20" s="60">
        <v>3173840126.9200001</v>
      </c>
      <c r="H20" s="60">
        <v>3308087185.8899999</v>
      </c>
      <c r="I20" s="6">
        <v>5795270000</v>
      </c>
      <c r="J20" s="6">
        <v>5332335564.9899998</v>
      </c>
      <c r="K20" s="6">
        <v>15055166685.530001</v>
      </c>
      <c r="L20" s="6">
        <v>7488920000</v>
      </c>
      <c r="M20" s="6">
        <v>16253150000</v>
      </c>
      <c r="N20" s="48">
        <v>14776940000</v>
      </c>
      <c r="O20" s="48">
        <v>17751490000</v>
      </c>
      <c r="P20" s="425">
        <f t="shared" si="0"/>
        <v>217</v>
      </c>
      <c r="Q20" s="6">
        <f t="shared" si="1"/>
        <v>8764230000</v>
      </c>
      <c r="R20" s="6">
        <f t="shared" si="2"/>
        <v>1197983314.4699993</v>
      </c>
      <c r="S20" s="149">
        <f t="shared" si="3"/>
        <v>-1476210000</v>
      </c>
      <c r="T20" s="19">
        <f t="shared" si="3"/>
        <v>2974550000</v>
      </c>
    </row>
    <row r="21" spans="1:20" ht="12.75">
      <c r="A21" s="7">
        <v>317</v>
      </c>
      <c r="B21" s="8" t="s">
        <v>17</v>
      </c>
      <c r="C21" s="60">
        <v>190333680.92000112</v>
      </c>
      <c r="D21" s="60">
        <v>200884215.77999926</v>
      </c>
      <c r="E21" s="60">
        <v>260860391.22000057</v>
      </c>
      <c r="F21" s="60">
        <v>124451501</v>
      </c>
      <c r="G21" s="60">
        <v>66642951.82</v>
      </c>
      <c r="H21" s="60">
        <v>74593420.75</v>
      </c>
      <c r="I21" s="6">
        <v>31300000</v>
      </c>
      <c r="J21" s="6">
        <v>73085182.099999994</v>
      </c>
      <c r="K21" s="6">
        <v>76880368.400000006</v>
      </c>
      <c r="L21" s="6">
        <v>61500000</v>
      </c>
      <c r="M21" s="6">
        <v>61500000</v>
      </c>
      <c r="N21" s="48">
        <v>61500000</v>
      </c>
      <c r="O21" s="48">
        <v>61500000</v>
      </c>
      <c r="P21" s="425">
        <f t="shared" si="0"/>
        <v>100</v>
      </c>
      <c r="Q21" s="6">
        <f t="shared" si="1"/>
        <v>0</v>
      </c>
      <c r="R21" s="6">
        <f t="shared" si="2"/>
        <v>-15380368.400000006</v>
      </c>
      <c r="S21" s="149">
        <f t="shared" si="3"/>
        <v>0</v>
      </c>
      <c r="T21" s="19">
        <f t="shared" si="3"/>
        <v>0</v>
      </c>
    </row>
    <row r="22" spans="1:20" ht="12.75">
      <c r="A22" s="7">
        <v>321</v>
      </c>
      <c r="B22" s="8" t="s">
        <v>18</v>
      </c>
      <c r="C22" s="60">
        <v>306481.53000000003</v>
      </c>
      <c r="D22" s="60">
        <v>472748.38</v>
      </c>
      <c r="E22" s="60">
        <v>166141.32</v>
      </c>
      <c r="F22" s="60">
        <v>805564</v>
      </c>
      <c r="G22" s="60">
        <v>667955.79</v>
      </c>
      <c r="H22" s="60">
        <v>1008130.59</v>
      </c>
      <c r="I22" s="6"/>
      <c r="J22" s="6">
        <v>453603.87</v>
      </c>
      <c r="K22" s="6">
        <v>5839950.0199999996</v>
      </c>
      <c r="L22" s="6">
        <v>0</v>
      </c>
      <c r="M22" s="6">
        <v>0</v>
      </c>
      <c r="N22" s="48">
        <v>0</v>
      </c>
      <c r="O22" s="48">
        <v>0</v>
      </c>
      <c r="P22" s="425" t="str">
        <f t="shared" si="0"/>
        <v xml:space="preserve"> </v>
      </c>
      <c r="Q22" s="6">
        <f t="shared" si="1"/>
        <v>0</v>
      </c>
      <c r="R22" s="6">
        <f t="shared" si="2"/>
        <v>-5839950.0199999996</v>
      </c>
      <c r="S22" s="149">
        <f t="shared" si="3"/>
        <v>0</v>
      </c>
      <c r="T22" s="19">
        <f t="shared" si="3"/>
        <v>0</v>
      </c>
    </row>
    <row r="23" spans="1:20" ht="12.75">
      <c r="A23" s="7">
        <v>322</v>
      </c>
      <c r="B23" s="8" t="s">
        <v>19</v>
      </c>
      <c r="C23" s="60">
        <v>701713416.14000034</v>
      </c>
      <c r="D23" s="60">
        <v>501985502.84999979</v>
      </c>
      <c r="E23" s="60">
        <v>593327810.49999988</v>
      </c>
      <c r="F23" s="60">
        <v>542274807</v>
      </c>
      <c r="G23" s="60">
        <v>1254063305.25</v>
      </c>
      <c r="H23" s="60">
        <v>1054413601.25</v>
      </c>
      <c r="I23" s="6">
        <v>714528909</v>
      </c>
      <c r="J23" s="6">
        <v>820659976.34000003</v>
      </c>
      <c r="K23" s="6">
        <v>1338586581.54</v>
      </c>
      <c r="L23" s="6">
        <v>2379082283</v>
      </c>
      <c r="M23" s="6">
        <v>1990768519</v>
      </c>
      <c r="N23" s="48">
        <v>2006890519</v>
      </c>
      <c r="O23" s="48">
        <v>2000000000</v>
      </c>
      <c r="P23" s="425">
        <f t="shared" si="0"/>
        <v>83.70</v>
      </c>
      <c r="Q23" s="6">
        <f t="shared" si="1"/>
        <v>-388313764</v>
      </c>
      <c r="R23" s="6">
        <f t="shared" si="2"/>
        <v>652181937.46000004</v>
      </c>
      <c r="S23" s="149">
        <f t="shared" si="3"/>
        <v>16122000</v>
      </c>
      <c r="T23" s="19">
        <f t="shared" si="3"/>
        <v>-6890519</v>
      </c>
    </row>
    <row r="24" spans="1:20" ht="12.75">
      <c r="A24" s="7">
        <v>327</v>
      </c>
      <c r="B24" s="8" t="s">
        <v>20</v>
      </c>
      <c r="C24" s="60">
        <v>203952874.46000054</v>
      </c>
      <c r="D24" s="60">
        <v>178190763.10999995</v>
      </c>
      <c r="E24" s="60">
        <v>190680022.75999635</v>
      </c>
      <c r="F24" s="60">
        <v>200111021</v>
      </c>
      <c r="G24" s="60">
        <v>364921363.66000003</v>
      </c>
      <c r="H24" s="60">
        <v>442816612.70999998</v>
      </c>
      <c r="I24" s="6">
        <v>219000000</v>
      </c>
      <c r="J24" s="6">
        <v>451511582.33999997</v>
      </c>
      <c r="K24" s="6">
        <v>473819915.02999997</v>
      </c>
      <c r="L24" s="6">
        <v>377000000</v>
      </c>
      <c r="M24" s="6">
        <v>347000000</v>
      </c>
      <c r="N24" s="48">
        <v>347000000</v>
      </c>
      <c r="O24" s="48">
        <v>347000000</v>
      </c>
      <c r="P24" s="425">
        <f t="shared" si="0"/>
        <v>92</v>
      </c>
      <c r="Q24" s="6">
        <f t="shared" si="1"/>
        <v>-30000000</v>
      </c>
      <c r="R24" s="6">
        <f t="shared" si="2"/>
        <v>-126819915.02999997</v>
      </c>
      <c r="S24" s="149">
        <f t="shared" si="3"/>
        <v>0</v>
      </c>
      <c r="T24" s="19">
        <f t="shared" si="3"/>
        <v>0</v>
      </c>
    </row>
    <row r="25" spans="1:20" ht="12.75">
      <c r="A25" s="7">
        <v>328</v>
      </c>
      <c r="B25" s="8" t="s">
        <v>21</v>
      </c>
      <c r="C25" s="60">
        <v>1140638000.1599998</v>
      </c>
      <c r="D25" s="60">
        <v>1252745137.0400002</v>
      </c>
      <c r="E25" s="60">
        <v>1162268341.5799999</v>
      </c>
      <c r="F25" s="60">
        <v>9655526463</v>
      </c>
      <c r="G25" s="60">
        <v>1198592684.8499999</v>
      </c>
      <c r="H25" s="60">
        <v>4370164244.4099998</v>
      </c>
      <c r="I25" s="6">
        <v>1220729000</v>
      </c>
      <c r="J25" s="6">
        <v>2117934758.98</v>
      </c>
      <c r="K25" s="6">
        <v>1065770319.27</v>
      </c>
      <c r="L25" s="6">
        <v>890064000</v>
      </c>
      <c r="M25" s="6">
        <v>8803430000</v>
      </c>
      <c r="N25" s="48">
        <v>1020000000</v>
      </c>
      <c r="O25" s="48">
        <v>1030000000</v>
      </c>
      <c r="P25" s="425">
        <f t="shared" si="0"/>
        <v>989.10</v>
      </c>
      <c r="Q25" s="6">
        <f t="shared" si="1"/>
        <v>7913366000</v>
      </c>
      <c r="R25" s="6">
        <f t="shared" si="2"/>
        <v>7737659680.7299995</v>
      </c>
      <c r="S25" s="149">
        <f t="shared" si="3"/>
        <v>-7783430000</v>
      </c>
      <c r="T25" s="19">
        <f t="shared" si="3"/>
        <v>10000000</v>
      </c>
    </row>
    <row r="26" spans="1:20" ht="12.75">
      <c r="A26" s="7">
        <v>329</v>
      </c>
      <c r="B26" s="8" t="s">
        <v>22</v>
      </c>
      <c r="C26" s="60">
        <v>1085157873.8499992</v>
      </c>
      <c r="D26" s="60">
        <v>2695416441.2599988</v>
      </c>
      <c r="E26" s="60">
        <v>10425834455.639997</v>
      </c>
      <c r="F26" s="60">
        <v>9538343353</v>
      </c>
      <c r="G26" s="60">
        <v>11485495269.5</v>
      </c>
      <c r="H26" s="60">
        <v>7788740675.9399996</v>
      </c>
      <c r="I26" s="6">
        <v>4922235000</v>
      </c>
      <c r="J26" s="6">
        <f>5272905342.48-118230009</f>
        <v>5154675333.4799995</v>
      </c>
      <c r="K26" s="215">
        <v>5110076172</v>
      </c>
      <c r="L26" s="6">
        <v>2331300000</v>
      </c>
      <c r="M26" s="6">
        <v>1331300000</v>
      </c>
      <c r="N26" s="48">
        <v>1331300000</v>
      </c>
      <c r="O26" s="48">
        <v>2331300000</v>
      </c>
      <c r="P26" s="425">
        <f t="shared" si="0"/>
        <v>57.10</v>
      </c>
      <c r="Q26" s="6">
        <f t="shared" si="1"/>
        <v>-1000000000</v>
      </c>
      <c r="R26" s="6">
        <f t="shared" si="2"/>
        <v>-3778776172</v>
      </c>
      <c r="S26" s="149">
        <f t="shared" si="3"/>
        <v>0</v>
      </c>
      <c r="T26" s="19">
        <f t="shared" si="3"/>
        <v>1000000000</v>
      </c>
    </row>
    <row r="27" spans="1:20" ht="12.75">
      <c r="A27" s="7">
        <v>333</v>
      </c>
      <c r="B27" s="8" t="s">
        <v>23</v>
      </c>
      <c r="C27" s="60">
        <v>140773667.18999976</v>
      </c>
      <c r="D27" s="60">
        <v>112736143.66000046</v>
      </c>
      <c r="E27" s="60">
        <v>152379824.169999</v>
      </c>
      <c r="F27" s="60">
        <v>140312169</v>
      </c>
      <c r="G27" s="60">
        <v>139867682.34</v>
      </c>
      <c r="H27" s="60">
        <v>164272379.27000001</v>
      </c>
      <c r="I27" s="6">
        <v>89952000</v>
      </c>
      <c r="J27" s="6">
        <v>129205801.14</v>
      </c>
      <c r="K27" s="363">
        <v>125170035.86</v>
      </c>
      <c r="L27" s="6">
        <v>92756000</v>
      </c>
      <c r="M27" s="6">
        <v>94398600</v>
      </c>
      <c r="N27" s="48">
        <v>94398600</v>
      </c>
      <c r="O27" s="48">
        <v>94398600</v>
      </c>
      <c r="P27" s="425">
        <f t="shared" si="0"/>
        <v>101.80</v>
      </c>
      <c r="Q27" s="6">
        <f t="shared" si="1"/>
        <v>1642600</v>
      </c>
      <c r="R27" s="6">
        <f t="shared" si="2"/>
        <v>-30771435.859999999</v>
      </c>
      <c r="S27" s="149">
        <f t="shared" si="3"/>
        <v>0</v>
      </c>
      <c r="T27" s="19">
        <f t="shared" si="3"/>
        <v>0</v>
      </c>
    </row>
    <row r="28" spans="1:20" ht="12.75">
      <c r="A28" s="7">
        <v>334</v>
      </c>
      <c r="B28" s="8" t="s">
        <v>24</v>
      </c>
      <c r="C28" s="60">
        <v>290958396.07000005</v>
      </c>
      <c r="D28" s="60">
        <v>177545448.30999997</v>
      </c>
      <c r="E28" s="60">
        <v>312465583.63000005</v>
      </c>
      <c r="F28" s="60">
        <v>175657546</v>
      </c>
      <c r="G28" s="60">
        <v>111597398.39</v>
      </c>
      <c r="H28" s="60">
        <v>121227417.88</v>
      </c>
      <c r="I28" s="6">
        <v>58499600</v>
      </c>
      <c r="J28" s="6">
        <v>405267130.36000001</v>
      </c>
      <c r="K28" s="363">
        <v>404875091.82999998</v>
      </c>
      <c r="L28" s="6">
        <v>110373411</v>
      </c>
      <c r="M28" s="6">
        <v>110373411</v>
      </c>
      <c r="N28" s="48">
        <v>110373411</v>
      </c>
      <c r="O28" s="48">
        <v>110373411</v>
      </c>
      <c r="P28" s="425">
        <f t="shared" si="0"/>
        <v>100</v>
      </c>
      <c r="Q28" s="6">
        <f t="shared" si="1"/>
        <v>0</v>
      </c>
      <c r="R28" s="6">
        <f t="shared" si="2"/>
        <v>-294501680.82999998</v>
      </c>
      <c r="S28" s="149">
        <f t="shared" si="3"/>
        <v>0</v>
      </c>
      <c r="T28" s="19">
        <f t="shared" si="3"/>
        <v>0</v>
      </c>
    </row>
    <row r="29" spans="1:20" ht="12.75">
      <c r="A29" s="7">
        <v>335</v>
      </c>
      <c r="B29" s="8" t="s">
        <v>25</v>
      </c>
      <c r="C29" s="60">
        <v>923660144.86000001</v>
      </c>
      <c r="D29" s="60">
        <v>534333167.04000002</v>
      </c>
      <c r="E29" s="60">
        <v>438107996.73000002</v>
      </c>
      <c r="F29" s="60">
        <v>1194073446</v>
      </c>
      <c r="G29" s="60">
        <v>2741936031.73</v>
      </c>
      <c r="H29" s="60">
        <v>1048802081.38</v>
      </c>
      <c r="I29" s="6">
        <v>41800000</v>
      </c>
      <c r="J29" s="6">
        <v>560363730.13999999</v>
      </c>
      <c r="K29" s="6">
        <v>526590029.92000002</v>
      </c>
      <c r="L29" s="6">
        <v>46800000</v>
      </c>
      <c r="M29" s="6">
        <v>46800000</v>
      </c>
      <c r="N29" s="48">
        <v>46800000</v>
      </c>
      <c r="O29" s="48">
        <v>46800000</v>
      </c>
      <c r="P29" s="425">
        <f t="shared" si="0"/>
        <v>100</v>
      </c>
      <c r="Q29" s="6">
        <f t="shared" si="1"/>
        <v>0</v>
      </c>
      <c r="R29" s="6">
        <f t="shared" si="2"/>
        <v>-479790029.92000002</v>
      </c>
      <c r="S29" s="149">
        <f t="shared" si="3"/>
        <v>0</v>
      </c>
      <c r="T29" s="19">
        <f t="shared" si="3"/>
        <v>0</v>
      </c>
    </row>
    <row r="30" spans="1:20" ht="12.75">
      <c r="A30" s="7">
        <v>336</v>
      </c>
      <c r="B30" s="8" t="s">
        <v>26</v>
      </c>
      <c r="C30" s="60">
        <v>2714508416.8699999</v>
      </c>
      <c r="D30" s="60">
        <v>3011017487.2799997</v>
      </c>
      <c r="E30" s="60">
        <v>2861548883.0999999</v>
      </c>
      <c r="F30" s="60">
        <v>2873497310</v>
      </c>
      <c r="G30" s="60">
        <v>2967307396.8699999</v>
      </c>
      <c r="H30" s="60">
        <v>2976807530.0900002</v>
      </c>
      <c r="I30" s="6">
        <v>2683200098</v>
      </c>
      <c r="J30" s="6">
        <v>3157709468.3400002</v>
      </c>
      <c r="K30" s="6">
        <v>3467949659.4099998</v>
      </c>
      <c r="L30" s="6">
        <v>3063078068</v>
      </c>
      <c r="M30" s="6">
        <v>3124815431</v>
      </c>
      <c r="N30" s="48">
        <v>3395246859</v>
      </c>
      <c r="O30" s="48">
        <v>3459575689</v>
      </c>
      <c r="P30" s="425">
        <f t="shared" si="0"/>
        <v>102</v>
      </c>
      <c r="Q30" s="6">
        <f t="shared" si="1"/>
        <v>61737363</v>
      </c>
      <c r="R30" s="6">
        <f t="shared" si="2"/>
        <v>-343134228.40999985</v>
      </c>
      <c r="S30" s="149">
        <f t="shared" si="3"/>
        <v>270431428</v>
      </c>
      <c r="T30" s="19">
        <f t="shared" si="3"/>
        <v>64328830</v>
      </c>
    </row>
    <row r="31" spans="1:20" ht="12.75">
      <c r="A31" s="7">
        <v>343</v>
      </c>
      <c r="B31" s="8" t="s">
        <v>27</v>
      </c>
      <c r="C31" s="60">
        <v>406050.03000000579</v>
      </c>
      <c r="D31" s="60">
        <v>4574123.9400000004</v>
      </c>
      <c r="E31" s="60">
        <v>7501261.3499999987</v>
      </c>
      <c r="F31" s="60">
        <v>1975255</v>
      </c>
      <c r="G31" s="60">
        <v>1867931.53</v>
      </c>
      <c r="H31" s="60">
        <v>6475907.7599999998</v>
      </c>
      <c r="I31" s="6"/>
      <c r="J31" s="6">
        <v>1394272.90</v>
      </c>
      <c r="K31" s="6">
        <v>3056889.22</v>
      </c>
      <c r="L31" s="6">
        <v>0</v>
      </c>
      <c r="M31" s="6">
        <v>0</v>
      </c>
      <c r="N31" s="48">
        <v>0</v>
      </c>
      <c r="O31" s="48">
        <v>0</v>
      </c>
      <c r="P31" s="425" t="str">
        <f t="shared" si="0"/>
        <v xml:space="preserve"> </v>
      </c>
      <c r="Q31" s="6">
        <f t="shared" si="1"/>
        <v>0</v>
      </c>
      <c r="R31" s="6">
        <f t="shared" si="2"/>
        <v>-3056889.22</v>
      </c>
      <c r="S31" s="149">
        <f t="shared" si="3"/>
        <v>0</v>
      </c>
      <c r="T31" s="19">
        <f t="shared" si="3"/>
        <v>0</v>
      </c>
    </row>
    <row r="32" spans="1:20" ht="12.75">
      <c r="A32" s="7">
        <v>344</v>
      </c>
      <c r="B32" s="8" t="s">
        <v>28</v>
      </c>
      <c r="C32" s="60">
        <v>238486738.45000002</v>
      </c>
      <c r="D32" s="60">
        <v>242153356.07000002</v>
      </c>
      <c r="E32" s="60">
        <v>246552607.24000001</v>
      </c>
      <c r="F32" s="60">
        <v>254328680</v>
      </c>
      <c r="G32" s="60">
        <v>272194583.31</v>
      </c>
      <c r="H32" s="60">
        <v>280828984.76999998</v>
      </c>
      <c r="I32" s="6">
        <v>225000000</v>
      </c>
      <c r="J32" s="6">
        <v>275027104.51999998</v>
      </c>
      <c r="K32" s="6">
        <v>278341432.87</v>
      </c>
      <c r="L32" s="6">
        <v>230000000</v>
      </c>
      <c r="M32" s="6">
        <v>236000000</v>
      </c>
      <c r="N32" s="48">
        <v>236000000</v>
      </c>
      <c r="O32" s="48">
        <v>236000000</v>
      </c>
      <c r="P32" s="425">
        <f t="shared" si="0"/>
        <v>102.60</v>
      </c>
      <c r="Q32" s="6">
        <f t="shared" si="1"/>
        <v>6000000</v>
      </c>
      <c r="R32" s="6">
        <f t="shared" si="2"/>
        <v>-42341432.870000005</v>
      </c>
      <c r="S32" s="149">
        <f t="shared" si="3"/>
        <v>0</v>
      </c>
      <c r="T32" s="19">
        <f t="shared" si="3"/>
        <v>0</v>
      </c>
    </row>
    <row r="33" spans="1:20" ht="12.75">
      <c r="A33" s="7">
        <v>345</v>
      </c>
      <c r="B33" s="8" t="s">
        <v>29</v>
      </c>
      <c r="C33" s="60">
        <v>12114475.600000005</v>
      </c>
      <c r="D33" s="60">
        <v>5973376.52000002</v>
      </c>
      <c r="E33" s="60">
        <v>11685568.360000001</v>
      </c>
      <c r="F33" s="60">
        <v>8559051</v>
      </c>
      <c r="G33" s="60">
        <v>8527317.8900000006</v>
      </c>
      <c r="H33" s="60">
        <v>8116981.5499999998</v>
      </c>
      <c r="I33" s="6">
        <v>3060000</v>
      </c>
      <c r="J33" s="6">
        <v>4518121.76</v>
      </c>
      <c r="K33" s="6">
        <v>3996399.42</v>
      </c>
      <c r="L33" s="6">
        <v>3060000</v>
      </c>
      <c r="M33" s="6">
        <v>1700000</v>
      </c>
      <c r="N33" s="48">
        <v>1700000</v>
      </c>
      <c r="O33" s="48">
        <v>1700000</v>
      </c>
      <c r="P33" s="425">
        <f t="shared" si="0"/>
        <v>55.60</v>
      </c>
      <c r="Q33" s="6">
        <f t="shared" si="1"/>
        <v>-1360000</v>
      </c>
      <c r="R33" s="6">
        <f t="shared" si="2"/>
        <v>-2296399.42</v>
      </c>
      <c r="S33" s="149">
        <f t="shared" si="3"/>
        <v>0</v>
      </c>
      <c r="T33" s="19">
        <f t="shared" si="3"/>
        <v>0</v>
      </c>
    </row>
    <row r="34" spans="1:20" ht="12.75">
      <c r="A34" s="7">
        <v>346</v>
      </c>
      <c r="B34" s="8" t="s">
        <v>30</v>
      </c>
      <c r="C34" s="60">
        <v>304172942.66000003</v>
      </c>
      <c r="D34" s="60">
        <v>580475049.92999995</v>
      </c>
      <c r="E34" s="60">
        <v>720700390.50999999</v>
      </c>
      <c r="F34" s="60">
        <v>740012818</v>
      </c>
      <c r="G34" s="60">
        <v>867742261.75999999</v>
      </c>
      <c r="H34" s="60">
        <v>890399749.58000004</v>
      </c>
      <c r="I34" s="6">
        <v>700000000</v>
      </c>
      <c r="J34" s="6">
        <v>889325132.99000001</v>
      </c>
      <c r="K34" s="6">
        <v>849376094.38</v>
      </c>
      <c r="L34" s="6">
        <v>820000000</v>
      </c>
      <c r="M34" s="6">
        <v>1420000000</v>
      </c>
      <c r="N34" s="48">
        <v>1420000000</v>
      </c>
      <c r="O34" s="48">
        <v>1420000000</v>
      </c>
      <c r="P34" s="425">
        <f t="shared" si="0"/>
        <v>173.20</v>
      </c>
      <c r="Q34" s="6">
        <f t="shared" si="1"/>
        <v>600000000</v>
      </c>
      <c r="R34" s="6">
        <f t="shared" si="2"/>
        <v>570623905.62</v>
      </c>
      <c r="S34" s="149">
        <f t="shared" si="3"/>
        <v>0</v>
      </c>
      <c r="T34" s="19">
        <f t="shared" si="3"/>
        <v>0</v>
      </c>
    </row>
    <row r="35" spans="1:20" ht="12.75">
      <c r="A35" s="7">
        <v>348</v>
      </c>
      <c r="B35" s="8" t="s">
        <v>31</v>
      </c>
      <c r="C35" s="60">
        <v>2637992.77</v>
      </c>
      <c r="D35" s="60">
        <v>3286494.02</v>
      </c>
      <c r="E35" s="60">
        <v>3240519.24</v>
      </c>
      <c r="F35" s="60">
        <v>4071761</v>
      </c>
      <c r="G35" s="60">
        <v>2682996.39</v>
      </c>
      <c r="H35" s="60">
        <v>2583837.16</v>
      </c>
      <c r="I35" s="6">
        <v>55092797</v>
      </c>
      <c r="J35" s="6">
        <v>56319812.869999997</v>
      </c>
      <c r="K35" s="6">
        <v>430053461.80000001</v>
      </c>
      <c r="L35" s="6">
        <v>366656606</v>
      </c>
      <c r="M35" s="6">
        <v>328034256</v>
      </c>
      <c r="N35" s="48">
        <v>328034256</v>
      </c>
      <c r="O35" s="48">
        <v>328034256</v>
      </c>
      <c r="P35" s="425">
        <f t="shared" si="0"/>
        <v>89.50</v>
      </c>
      <c r="Q35" s="6">
        <f t="shared" si="1"/>
        <v>-38622350</v>
      </c>
      <c r="R35" s="6">
        <f t="shared" si="2"/>
        <v>-102019205.80000001</v>
      </c>
      <c r="S35" s="149">
        <f t="shared" si="3"/>
        <v>0</v>
      </c>
      <c r="T35" s="19">
        <f t="shared" si="3"/>
        <v>0</v>
      </c>
    </row>
    <row r="36" spans="1:20" ht="12.75">
      <c r="A36" s="7">
        <v>349</v>
      </c>
      <c r="B36" s="8" t="s">
        <v>32</v>
      </c>
      <c r="C36" s="60">
        <v>11762725.210000001</v>
      </c>
      <c r="D36" s="60">
        <v>228280680.28</v>
      </c>
      <c r="E36" s="60">
        <v>216799872.25</v>
      </c>
      <c r="F36" s="60">
        <v>210284976</v>
      </c>
      <c r="G36" s="60">
        <v>230691471.19</v>
      </c>
      <c r="H36" s="60">
        <v>293471608.62</v>
      </c>
      <c r="I36" s="6">
        <v>294109000</v>
      </c>
      <c r="J36" s="6">
        <v>297672582.70999998</v>
      </c>
      <c r="K36" s="6">
        <v>311324134.19999999</v>
      </c>
      <c r="L36" s="6">
        <v>326488000</v>
      </c>
      <c r="M36" s="6">
        <v>339839000</v>
      </c>
      <c r="N36" s="48">
        <v>377123000</v>
      </c>
      <c r="O36" s="48">
        <v>377123000</v>
      </c>
      <c r="P36" s="425">
        <f t="shared" si="0"/>
        <v>104.10</v>
      </c>
      <c r="Q36" s="6">
        <f t="shared" si="1"/>
        <v>13351000</v>
      </c>
      <c r="R36" s="6">
        <f t="shared" si="2"/>
        <v>28514865.800000012</v>
      </c>
      <c r="S36" s="149">
        <f t="shared" si="3"/>
        <v>37284000</v>
      </c>
      <c r="T36" s="19">
        <f t="shared" si="3"/>
        <v>0</v>
      </c>
    </row>
    <row r="37" spans="1:20" ht="12.75">
      <c r="A37" s="7">
        <v>353</v>
      </c>
      <c r="B37" s="8" t="s">
        <v>33</v>
      </c>
      <c r="C37" s="60">
        <v>15888797.390000001</v>
      </c>
      <c r="D37" s="60">
        <v>-545886886.65999997</v>
      </c>
      <c r="E37" s="60">
        <v>-401796175.73000002</v>
      </c>
      <c r="F37" s="60">
        <v>14432272</v>
      </c>
      <c r="G37" s="60">
        <v>22099335.739999998</v>
      </c>
      <c r="H37" s="60">
        <v>20017294.5</v>
      </c>
      <c r="I37" s="6">
        <v>5500000</v>
      </c>
      <c r="J37" s="6">
        <v>19010581.84</v>
      </c>
      <c r="K37" s="6">
        <v>21675955.109999999</v>
      </c>
      <c r="L37" s="6">
        <v>5500000</v>
      </c>
      <c r="M37" s="6">
        <v>5500000</v>
      </c>
      <c r="N37" s="48">
        <v>5500000</v>
      </c>
      <c r="O37" s="48">
        <v>5500000</v>
      </c>
      <c r="P37" s="425">
        <f t="shared" si="0"/>
        <v>100</v>
      </c>
      <c r="Q37" s="6">
        <f t="shared" si="1"/>
        <v>0</v>
      </c>
      <c r="R37" s="6">
        <f t="shared" si="2"/>
        <v>-16175955.109999999</v>
      </c>
      <c r="S37" s="149">
        <f t="shared" si="3"/>
        <v>0</v>
      </c>
      <c r="T37" s="19">
        <f t="shared" si="3"/>
        <v>0</v>
      </c>
    </row>
    <row r="38" spans="1:20" ht="12.75">
      <c r="A38" s="7">
        <v>355</v>
      </c>
      <c r="B38" s="8" t="s">
        <v>34</v>
      </c>
      <c r="C38" s="60">
        <v>1051136</v>
      </c>
      <c r="D38" s="60">
        <v>1615150.60</v>
      </c>
      <c r="E38" s="60">
        <v>2521057.44</v>
      </c>
      <c r="F38" s="60">
        <v>795090</v>
      </c>
      <c r="G38" s="60">
        <v>1324909.72</v>
      </c>
      <c r="H38" s="60">
        <v>1017261.08</v>
      </c>
      <c r="I38" s="6"/>
      <c r="J38" s="6">
        <v>1732102.36</v>
      </c>
      <c r="K38" s="6">
        <v>1318550.8700000001</v>
      </c>
      <c r="L38" s="6">
        <v>0</v>
      </c>
      <c r="M38" s="6">
        <v>0</v>
      </c>
      <c r="N38" s="48">
        <v>0</v>
      </c>
      <c r="O38" s="48">
        <v>0</v>
      </c>
      <c r="P38" s="425" t="str">
        <f t="shared" si="0"/>
        <v xml:space="preserve"> </v>
      </c>
      <c r="Q38" s="6">
        <f t="shared" si="1"/>
        <v>0</v>
      </c>
      <c r="R38" s="6">
        <f t="shared" si="2"/>
        <v>-1318550.8700000001</v>
      </c>
      <c r="S38" s="149">
        <f t="shared" si="3"/>
        <v>0</v>
      </c>
      <c r="T38" s="19">
        <f t="shared" si="3"/>
        <v>0</v>
      </c>
    </row>
    <row r="39" spans="1:20" ht="12.75">
      <c r="A39" s="7">
        <v>358</v>
      </c>
      <c r="B39" s="8" t="s">
        <v>35</v>
      </c>
      <c r="C39" s="60">
        <v>334488.48</v>
      </c>
      <c r="D39" s="60">
        <v>279873.95</v>
      </c>
      <c r="E39" s="60">
        <v>275354.74</v>
      </c>
      <c r="F39" s="60">
        <v>479830</v>
      </c>
      <c r="G39" s="60">
        <v>250616.09</v>
      </c>
      <c r="H39" s="60">
        <v>497831.30</v>
      </c>
      <c r="I39" s="6"/>
      <c r="J39" s="6">
        <v>725407.17</v>
      </c>
      <c r="K39" s="6">
        <v>2407517</v>
      </c>
      <c r="L39" s="6">
        <v>0</v>
      </c>
      <c r="M39" s="6">
        <v>0</v>
      </c>
      <c r="N39" s="48">
        <v>0</v>
      </c>
      <c r="O39" s="48">
        <v>0</v>
      </c>
      <c r="P39" s="425" t="str">
        <f t="shared" si="0"/>
        <v xml:space="preserve"> </v>
      </c>
      <c r="Q39" s="6">
        <f t="shared" si="1"/>
        <v>0</v>
      </c>
      <c r="R39" s="6">
        <f t="shared" si="2"/>
        <v>-2407517</v>
      </c>
      <c r="S39" s="149">
        <f t="shared" si="3"/>
        <v>0</v>
      </c>
      <c r="T39" s="19">
        <f t="shared" si="3"/>
        <v>0</v>
      </c>
    </row>
    <row r="40" spans="1:20" ht="12.75">
      <c r="A40" s="7">
        <v>359</v>
      </c>
      <c r="B40" s="8" t="s">
        <v>139</v>
      </c>
      <c r="C40" s="60"/>
      <c r="D40" s="60"/>
      <c r="E40" s="60"/>
      <c r="F40" s="60"/>
      <c r="G40" s="60"/>
      <c r="H40" s="208"/>
      <c r="I40" s="6"/>
      <c r="J40" s="6"/>
      <c r="K40" s="6"/>
      <c r="L40" s="6">
        <v>0</v>
      </c>
      <c r="M40" s="6">
        <v>0</v>
      </c>
      <c r="N40" s="48">
        <v>0</v>
      </c>
      <c r="O40" s="48">
        <v>0</v>
      </c>
      <c r="P40" s="425" t="str">
        <f t="shared" si="0"/>
        <v xml:space="preserve"> </v>
      </c>
      <c r="Q40" s="6">
        <f t="shared" si="1"/>
        <v>0</v>
      </c>
      <c r="R40" s="6">
        <f t="shared" si="2"/>
        <v>0</v>
      </c>
      <c r="S40" s="149">
        <f t="shared" si="3"/>
        <v>0</v>
      </c>
      <c r="T40" s="19">
        <f t="shared" si="3"/>
        <v>0</v>
      </c>
    </row>
    <row r="41" spans="1:20" ht="12.75">
      <c r="A41" s="7">
        <v>361</v>
      </c>
      <c r="B41" s="8" t="s">
        <v>36</v>
      </c>
      <c r="C41" s="60">
        <v>3629907.51</v>
      </c>
      <c r="D41" s="60">
        <v>5910430.1700000009</v>
      </c>
      <c r="E41" s="60">
        <v>1847603.73</v>
      </c>
      <c r="F41" s="60">
        <v>1788975</v>
      </c>
      <c r="G41" s="60">
        <v>1731133.43</v>
      </c>
      <c r="H41" s="60">
        <v>6053551.5199999996</v>
      </c>
      <c r="I41" s="6"/>
      <c r="J41" s="6">
        <v>1241321.27</v>
      </c>
      <c r="K41" s="6">
        <v>89128.77</v>
      </c>
      <c r="L41" s="6">
        <v>0</v>
      </c>
      <c r="M41" s="6">
        <v>0</v>
      </c>
      <c r="N41" s="48">
        <v>0</v>
      </c>
      <c r="O41" s="48">
        <v>0</v>
      </c>
      <c r="P41" s="425" t="str">
        <f t="shared" si="0"/>
        <v xml:space="preserve"> </v>
      </c>
      <c r="Q41" s="6">
        <f t="shared" si="1"/>
        <v>0</v>
      </c>
      <c r="R41" s="6">
        <f t="shared" si="2"/>
        <v>-89128.77</v>
      </c>
      <c r="S41" s="149">
        <f t="shared" si="3"/>
        <v>0</v>
      </c>
      <c r="T41" s="19">
        <f t="shared" si="3"/>
        <v>0</v>
      </c>
    </row>
    <row r="42" spans="1:20" ht="17.25" customHeight="1">
      <c r="A42" s="7">
        <v>362</v>
      </c>
      <c r="B42" s="8" t="s">
        <v>164</v>
      </c>
      <c r="C42" s="60"/>
      <c r="D42" s="60"/>
      <c r="E42" s="60"/>
      <c r="F42" s="60"/>
      <c r="G42" s="60"/>
      <c r="H42" s="60"/>
      <c r="I42" s="6"/>
      <c r="J42" s="6"/>
      <c r="K42" s="6"/>
      <c r="L42" s="48">
        <v>0</v>
      </c>
      <c r="M42" s="6">
        <v>0</v>
      </c>
      <c r="N42" s="48">
        <v>0</v>
      </c>
      <c r="O42" s="48">
        <v>0</v>
      </c>
      <c r="P42" s="425" t="str">
        <f t="shared" si="0"/>
        <v xml:space="preserve"> </v>
      </c>
      <c r="Q42" s="6">
        <f t="shared" si="1"/>
        <v>0</v>
      </c>
      <c r="R42" s="6">
        <f t="shared" si="2"/>
        <v>0</v>
      </c>
      <c r="S42" s="149">
        <f t="shared" si="3"/>
        <v>0</v>
      </c>
      <c r="T42" s="19">
        <f t="shared" si="3"/>
        <v>0</v>
      </c>
    </row>
    <row r="43" spans="1:20" ht="25.5">
      <c r="A43" s="7">
        <v>371</v>
      </c>
      <c r="B43" s="188" t="s">
        <v>140</v>
      </c>
      <c r="C43" s="60"/>
      <c r="D43" s="60"/>
      <c r="E43" s="60"/>
      <c r="F43" s="60"/>
      <c r="G43" s="60"/>
      <c r="H43" s="60"/>
      <c r="I43" s="6"/>
      <c r="J43" s="6">
        <v>6000</v>
      </c>
      <c r="K43" s="6">
        <v>65324.01</v>
      </c>
      <c r="L43" s="48">
        <v>0</v>
      </c>
      <c r="M43" s="6">
        <v>0</v>
      </c>
      <c r="N43" s="48">
        <v>0</v>
      </c>
      <c r="O43" s="48">
        <v>0</v>
      </c>
      <c r="P43" s="425" t="str">
        <f t="shared" si="0"/>
        <v xml:space="preserve"> </v>
      </c>
      <c r="Q43" s="6">
        <f t="shared" si="1"/>
        <v>0</v>
      </c>
      <c r="R43" s="6">
        <f t="shared" si="2"/>
        <v>-65324.01</v>
      </c>
      <c r="S43" s="149">
        <f t="shared" si="3"/>
        <v>0</v>
      </c>
      <c r="T43" s="19">
        <f t="shared" si="3"/>
        <v>0</v>
      </c>
    </row>
    <row r="44" spans="1:20" ht="12.75">
      <c r="A44" s="7">
        <v>372</v>
      </c>
      <c r="B44" s="8" t="s">
        <v>37</v>
      </c>
      <c r="C44" s="60">
        <v>7616262.9900000002</v>
      </c>
      <c r="D44" s="60">
        <v>8903373.4399999995</v>
      </c>
      <c r="E44" s="60">
        <v>13230198</v>
      </c>
      <c r="F44" s="60">
        <v>8353485</v>
      </c>
      <c r="G44" s="60">
        <v>11857932</v>
      </c>
      <c r="H44" s="60">
        <v>7003186.2999999998</v>
      </c>
      <c r="I44" s="6">
        <v>6550000</v>
      </c>
      <c r="J44" s="6">
        <v>6771161</v>
      </c>
      <c r="K44" s="6">
        <v>8446072.8900000006</v>
      </c>
      <c r="L44" s="48">
        <v>6050000</v>
      </c>
      <c r="M44" s="6">
        <v>6050000</v>
      </c>
      <c r="N44" s="48">
        <v>6050000</v>
      </c>
      <c r="O44" s="48">
        <v>6050000</v>
      </c>
      <c r="P44" s="425">
        <f t="shared" si="0"/>
        <v>100</v>
      </c>
      <c r="Q44" s="6">
        <f t="shared" si="1"/>
        <v>0</v>
      </c>
      <c r="R44" s="6">
        <f t="shared" si="2"/>
        <v>-2396072.8900000006</v>
      </c>
      <c r="S44" s="149">
        <f t="shared" si="3"/>
        <v>0</v>
      </c>
      <c r="T44" s="19">
        <f t="shared" si="3"/>
        <v>0</v>
      </c>
    </row>
    <row r="45" spans="1:20" ht="12.75">
      <c r="A45" s="7">
        <v>373</v>
      </c>
      <c r="B45" s="8" t="s">
        <v>141</v>
      </c>
      <c r="C45" s="60"/>
      <c r="D45" s="60"/>
      <c r="E45" s="60"/>
      <c r="F45" s="60"/>
      <c r="G45" s="60"/>
      <c r="H45" s="208"/>
      <c r="I45" s="6"/>
      <c r="J45" s="6">
        <v>2000</v>
      </c>
      <c r="K45" s="6">
        <v>236086.02</v>
      </c>
      <c r="L45" s="48">
        <v>0</v>
      </c>
      <c r="M45" s="6">
        <v>0</v>
      </c>
      <c r="N45" s="48">
        <v>0</v>
      </c>
      <c r="O45" s="48">
        <v>0</v>
      </c>
      <c r="P45" s="425" t="str">
        <f t="shared" si="0"/>
        <v xml:space="preserve"> </v>
      </c>
      <c r="Q45" s="6">
        <f t="shared" si="1"/>
        <v>0</v>
      </c>
      <c r="R45" s="6">
        <f t="shared" si="2"/>
        <v>-236086.02</v>
      </c>
      <c r="S45" s="149">
        <f t="shared" si="3"/>
        <v>0</v>
      </c>
      <c r="T45" s="19">
        <f t="shared" si="3"/>
        <v>0</v>
      </c>
    </row>
    <row r="46" spans="1:20" ht="12.75">
      <c r="A46" s="7">
        <v>374</v>
      </c>
      <c r="B46" s="8" t="s">
        <v>38</v>
      </c>
      <c r="C46" s="60">
        <v>215322692.78</v>
      </c>
      <c r="D46" s="60">
        <v>143691032.65000001</v>
      </c>
      <c r="E46" s="60">
        <v>130999653.98</v>
      </c>
      <c r="F46" s="60">
        <v>91718350</v>
      </c>
      <c r="G46" s="60">
        <v>86702298.700000003</v>
      </c>
      <c r="H46" s="60">
        <v>106463897.62</v>
      </c>
      <c r="I46" s="6">
        <v>45000000</v>
      </c>
      <c r="J46" s="6">
        <v>91851798.930000007</v>
      </c>
      <c r="K46" s="6">
        <v>82391108.540000007</v>
      </c>
      <c r="L46" s="48">
        <v>24000000</v>
      </c>
      <c r="M46" s="48">
        <v>24000000</v>
      </c>
      <c r="N46" s="48">
        <v>24000000</v>
      </c>
      <c r="O46" s="48">
        <v>24000000</v>
      </c>
      <c r="P46" s="425">
        <f t="shared" si="0"/>
        <v>100</v>
      </c>
      <c r="Q46" s="6">
        <f t="shared" si="1"/>
        <v>0</v>
      </c>
      <c r="R46" s="6">
        <f t="shared" si="2"/>
        <v>-58391108.540000007</v>
      </c>
      <c r="S46" s="149">
        <f t="shared" si="3"/>
        <v>0</v>
      </c>
      <c r="T46" s="19">
        <f t="shared" si="3"/>
        <v>0</v>
      </c>
    </row>
    <row r="47" spans="1:20" ht="12.75">
      <c r="A47" s="7">
        <v>375</v>
      </c>
      <c r="B47" s="8" t="s">
        <v>39</v>
      </c>
      <c r="C47" s="60">
        <v>11170858.26</v>
      </c>
      <c r="D47" s="60">
        <v>55421937.679999992</v>
      </c>
      <c r="E47" s="60">
        <v>179034791.70999998</v>
      </c>
      <c r="F47" s="60">
        <v>184065110</v>
      </c>
      <c r="G47" s="60">
        <v>176717790.99000001</v>
      </c>
      <c r="H47" s="60">
        <v>180244029.94</v>
      </c>
      <c r="I47" s="6">
        <v>170400000</v>
      </c>
      <c r="J47" s="6">
        <v>184899730.90000001</v>
      </c>
      <c r="K47" s="6">
        <v>185696959.34999999</v>
      </c>
      <c r="L47" s="48">
        <v>170400000</v>
      </c>
      <c r="M47" s="6">
        <v>170400000</v>
      </c>
      <c r="N47" s="48">
        <v>235361000</v>
      </c>
      <c r="O47" s="48">
        <v>235361000</v>
      </c>
      <c r="P47" s="425">
        <f t="shared" si="0"/>
        <v>100</v>
      </c>
      <c r="Q47" s="6">
        <f t="shared" si="1"/>
        <v>0</v>
      </c>
      <c r="R47" s="6">
        <f t="shared" si="2"/>
        <v>-15296959.349999994</v>
      </c>
      <c r="S47" s="149">
        <f t="shared" si="3"/>
        <v>64961000</v>
      </c>
      <c r="T47" s="19">
        <f t="shared" si="3"/>
        <v>0</v>
      </c>
    </row>
    <row r="48" spans="1:20" ht="12.75">
      <c r="A48" s="7">
        <v>376</v>
      </c>
      <c r="B48" s="8" t="s">
        <v>40</v>
      </c>
      <c r="C48" s="60">
        <v>0</v>
      </c>
      <c r="D48" s="60">
        <v>34156000.259999998</v>
      </c>
      <c r="E48" s="60">
        <v>40693817.68</v>
      </c>
      <c r="F48" s="60">
        <v>43804334</v>
      </c>
      <c r="G48" s="60">
        <v>43486874.189999998</v>
      </c>
      <c r="H48" s="60">
        <v>44834476.549999997</v>
      </c>
      <c r="I48" s="6">
        <v>47310525</v>
      </c>
      <c r="J48" s="6">
        <v>58390391.609999999</v>
      </c>
      <c r="K48" s="6">
        <v>65924669.600000001</v>
      </c>
      <c r="L48" s="48">
        <v>69450396</v>
      </c>
      <c r="M48" s="6">
        <v>69450396</v>
      </c>
      <c r="N48" s="48">
        <v>60962461</v>
      </c>
      <c r="O48" s="48">
        <v>63980469</v>
      </c>
      <c r="P48" s="425">
        <f t="shared" si="0"/>
        <v>100</v>
      </c>
      <c r="Q48" s="6">
        <f t="shared" si="1"/>
        <v>0</v>
      </c>
      <c r="R48" s="6">
        <f t="shared" si="2"/>
        <v>3525726.3999999985</v>
      </c>
      <c r="S48" s="149">
        <f t="shared" si="3"/>
        <v>-8487935</v>
      </c>
      <c r="T48" s="19">
        <f t="shared" si="3"/>
        <v>3018008</v>
      </c>
    </row>
    <row r="49" spans="1:20" ht="12.75">
      <c r="A49" s="7">
        <v>377</v>
      </c>
      <c r="B49" s="8" t="s">
        <v>41</v>
      </c>
      <c r="C49" s="60">
        <v>154.09</v>
      </c>
      <c r="D49" s="60">
        <v>15617.85</v>
      </c>
      <c r="E49" s="60">
        <v>155113.26999999999</v>
      </c>
      <c r="F49" s="60">
        <v>2226517</v>
      </c>
      <c r="G49" s="60">
        <v>896814.29</v>
      </c>
      <c r="H49" s="60">
        <v>1927430.46</v>
      </c>
      <c r="I49" s="6"/>
      <c r="J49" s="6">
        <v>5125296.04</v>
      </c>
      <c r="K49" s="6">
        <v>8280136.3099999996</v>
      </c>
      <c r="L49" s="48">
        <v>0</v>
      </c>
      <c r="M49" s="6">
        <v>0</v>
      </c>
      <c r="N49" s="48">
        <v>0</v>
      </c>
      <c r="O49" s="48">
        <v>0</v>
      </c>
      <c r="P49" s="425" t="str">
        <f t="shared" si="0"/>
        <v xml:space="preserve"> </v>
      </c>
      <c r="Q49" s="6">
        <f t="shared" si="1"/>
        <v>0</v>
      </c>
      <c r="R49" s="6">
        <f t="shared" si="2"/>
        <v>-8280136.3099999996</v>
      </c>
      <c r="S49" s="149">
        <f t="shared" si="3"/>
        <v>0</v>
      </c>
      <c r="T49" s="19">
        <f t="shared" si="3"/>
        <v>0</v>
      </c>
    </row>
    <row r="50" spans="1:20" ht="25.5">
      <c r="A50" s="7">
        <v>378</v>
      </c>
      <c r="B50" s="188" t="s">
        <v>148</v>
      </c>
      <c r="C50" s="60"/>
      <c r="D50" s="60"/>
      <c r="E50" s="60"/>
      <c r="F50" s="60"/>
      <c r="G50" s="60"/>
      <c r="H50" s="60"/>
      <c r="I50" s="6"/>
      <c r="J50" s="6">
        <v>48.02</v>
      </c>
      <c r="K50" s="6">
        <v>133077.69</v>
      </c>
      <c r="L50" s="48">
        <v>0</v>
      </c>
      <c r="M50" s="6">
        <v>400000</v>
      </c>
      <c r="N50" s="48">
        <v>400000</v>
      </c>
      <c r="O50" s="48">
        <v>400000</v>
      </c>
      <c r="P50" s="425" t="str">
        <f t="shared" si="0"/>
        <v xml:space="preserve"> </v>
      </c>
      <c r="Q50" s="6">
        <f t="shared" si="1"/>
        <v>400000</v>
      </c>
      <c r="R50" s="6">
        <f t="shared" si="2"/>
        <v>266922.31</v>
      </c>
      <c r="S50" s="149">
        <f t="shared" si="3"/>
        <v>0</v>
      </c>
      <c r="T50" s="19">
        <f t="shared" si="3"/>
        <v>0</v>
      </c>
    </row>
    <row r="51" spans="1:20" ht="12.75">
      <c r="A51" s="7">
        <v>381</v>
      </c>
      <c r="B51" s="8" t="s">
        <v>42</v>
      </c>
      <c r="C51" s="60">
        <v>939772.91</v>
      </c>
      <c r="D51" s="60">
        <v>1059860.6399999999</v>
      </c>
      <c r="E51" s="60">
        <v>953149.61</v>
      </c>
      <c r="F51" s="60">
        <v>1247677</v>
      </c>
      <c r="G51" s="60">
        <v>1067615.49</v>
      </c>
      <c r="H51" s="60">
        <v>1230773.17</v>
      </c>
      <c r="I51" s="6">
        <v>397000</v>
      </c>
      <c r="J51" s="6">
        <v>1567398.58</v>
      </c>
      <c r="K51" s="6">
        <v>1977822.55</v>
      </c>
      <c r="L51" s="48">
        <v>467940</v>
      </c>
      <c r="M51" s="6">
        <v>518140</v>
      </c>
      <c r="N51" s="48">
        <v>400000</v>
      </c>
      <c r="O51" s="48">
        <v>400000</v>
      </c>
      <c r="P51" s="425">
        <f t="shared" si="0"/>
        <v>110.70</v>
      </c>
      <c r="Q51" s="6">
        <f t="shared" si="1"/>
        <v>50200</v>
      </c>
      <c r="R51" s="6">
        <f t="shared" si="2"/>
        <v>-1459682.55</v>
      </c>
      <c r="S51" s="149">
        <f t="shared" si="3"/>
        <v>-118140</v>
      </c>
      <c r="T51" s="19">
        <f t="shared" si="3"/>
        <v>0</v>
      </c>
    </row>
    <row r="52" spans="1:20" ht="12.75">
      <c r="A52" s="7">
        <v>396</v>
      </c>
      <c r="B52" s="8" t="s">
        <v>43</v>
      </c>
      <c r="C52" s="60">
        <v>10505829588.719999</v>
      </c>
      <c r="D52" s="60">
        <v>15686928696.68</v>
      </c>
      <c r="E52" s="60">
        <v>6951670461.2399998</v>
      </c>
      <c r="F52" s="60">
        <v>7402168563</v>
      </c>
      <c r="G52" s="60">
        <v>7913735159.7200003</v>
      </c>
      <c r="H52" s="60">
        <v>210713.80</v>
      </c>
      <c r="I52" s="6"/>
      <c r="J52" s="6">
        <v>383911168.64999998</v>
      </c>
      <c r="K52" s="6">
        <v>76220.44</v>
      </c>
      <c r="L52" s="48">
        <v>0</v>
      </c>
      <c r="M52" s="6">
        <v>0</v>
      </c>
      <c r="N52" s="48">
        <v>0</v>
      </c>
      <c r="O52" s="48">
        <v>0</v>
      </c>
      <c r="P52" s="425" t="str">
        <f t="shared" si="0"/>
        <v xml:space="preserve"> </v>
      </c>
      <c r="Q52" s="6">
        <f t="shared" si="1"/>
        <v>0</v>
      </c>
      <c r="R52" s="6">
        <f t="shared" si="2"/>
        <v>-76220.44</v>
      </c>
      <c r="S52" s="149">
        <f t="shared" si="3"/>
        <v>0</v>
      </c>
      <c r="T52" s="19">
        <f t="shared" si="3"/>
        <v>0</v>
      </c>
    </row>
    <row r="53" spans="1:20" ht="12.75">
      <c r="A53" s="7">
        <v>397</v>
      </c>
      <c r="B53" s="8" t="s">
        <v>44</v>
      </c>
      <c r="C53" s="60">
        <v>3996491286.75</v>
      </c>
      <c r="D53" s="60">
        <v>3599648113.4199996</v>
      </c>
      <c r="E53" s="60">
        <v>3511711798.8099999</v>
      </c>
      <c r="F53" s="60">
        <v>3339658563</v>
      </c>
      <c r="G53" s="60">
        <v>3240634149.48</v>
      </c>
      <c r="H53" s="60">
        <v>1727016746.04</v>
      </c>
      <c r="I53" s="6">
        <v>2171500000</v>
      </c>
      <c r="J53" s="6">
        <v>2634502274.5799999</v>
      </c>
      <c r="K53" s="6">
        <v>2277661632.73</v>
      </c>
      <c r="L53" s="48">
        <v>5076500000</v>
      </c>
      <c r="M53" s="6">
        <v>5191500000</v>
      </c>
      <c r="N53" s="48">
        <v>5211500000</v>
      </c>
      <c r="O53" s="48">
        <v>5241500000</v>
      </c>
      <c r="P53" s="425">
        <f t="shared" si="0"/>
        <v>102.30</v>
      </c>
      <c r="Q53" s="6">
        <f t="shared" si="1"/>
        <v>115000000</v>
      </c>
      <c r="R53" s="6">
        <f t="shared" si="2"/>
        <v>2913838367.27</v>
      </c>
      <c r="S53" s="149">
        <f t="shared" si="3"/>
        <v>20000000</v>
      </c>
      <c r="T53" s="19">
        <f t="shared" si="3"/>
        <v>30000000</v>
      </c>
    </row>
    <row r="54" spans="1:20" ht="12.75">
      <c r="A54" s="7">
        <v>398</v>
      </c>
      <c r="B54" s="8" t="s">
        <v>45</v>
      </c>
      <c r="C54" s="60">
        <v>523600418569.53003</v>
      </c>
      <c r="D54" s="60">
        <v>556118324694.80005</v>
      </c>
      <c r="E54" s="60">
        <v>566581703485.82996</v>
      </c>
      <c r="F54" s="60">
        <v>580159382671</v>
      </c>
      <c r="G54" s="60">
        <v>608546689726.53003</v>
      </c>
      <c r="H54" s="60">
        <v>657282642146.17004</v>
      </c>
      <c r="I54" s="6">
        <v>677618301800</v>
      </c>
      <c r="J54" s="6">
        <v>697803050392.44995</v>
      </c>
      <c r="K54" s="6">
        <v>726534403016.35999</v>
      </c>
      <c r="L54" s="48">
        <v>784811999860</v>
      </c>
      <c r="M54" s="6">
        <v>825050470800</v>
      </c>
      <c r="N54" s="6">
        <v>854823820800</v>
      </c>
      <c r="O54" s="48">
        <v>884218320800</v>
      </c>
      <c r="P54" s="425">
        <f t="shared" si="0"/>
        <v>105.10</v>
      </c>
      <c r="Q54" s="6">
        <f t="shared" si="1"/>
        <v>40238470940</v>
      </c>
      <c r="R54" s="6">
        <f t="shared" si="2"/>
        <v>98516067783.640015</v>
      </c>
      <c r="S54" s="149">
        <f t="shared" si="3"/>
        <v>29773350000</v>
      </c>
      <c r="T54" s="19">
        <f t="shared" si="3"/>
        <v>29394500000</v>
      </c>
    </row>
    <row r="55" spans="1:20" ht="12.75">
      <c r="A55" s="9"/>
      <c r="B55" s="10"/>
      <c r="C55" s="58"/>
      <c r="D55" s="58"/>
      <c r="E55" s="58"/>
      <c r="F55" s="58"/>
      <c r="G55" s="58"/>
      <c r="H55" s="58"/>
      <c r="I55" s="6"/>
      <c r="J55" s="6"/>
      <c r="K55" s="6"/>
      <c r="L55" s="6"/>
      <c r="M55" s="11"/>
      <c r="N55" s="11"/>
      <c r="O55" s="48"/>
      <c r="P55" s="146" t="str">
        <f t="shared" si="4" ref="P55:P56">IF(I55=0," ",IF(I55&gt;0,ROUND(L55/I55*100,1)))</f>
        <v xml:space="preserve"> </v>
      </c>
      <c r="Q55" s="11"/>
      <c r="R55" s="11"/>
      <c r="S55" s="254"/>
      <c r="T55" s="19"/>
    </row>
    <row r="56" spans="1:20" ht="13.5" thickBot="1">
      <c r="A56" s="12"/>
      <c r="B56" s="13"/>
      <c r="C56" s="59"/>
      <c r="D56" s="59"/>
      <c r="E56" s="59"/>
      <c r="F56" s="59"/>
      <c r="G56" s="59"/>
      <c r="H56" s="59"/>
      <c r="I56" s="14"/>
      <c r="J56" s="14"/>
      <c r="K56" s="14"/>
      <c r="L56" s="14"/>
      <c r="M56" s="14"/>
      <c r="N56" s="14"/>
      <c r="O56" s="14"/>
      <c r="P56" s="147" t="str">
        <f t="shared" si="4"/>
        <v xml:space="preserve"> </v>
      </c>
      <c r="Q56" s="14"/>
      <c r="R56" s="14"/>
      <c r="S56" s="150"/>
      <c r="T56" s="24"/>
    </row>
    <row r="57" spans="1:20" ht="17.25" customHeight="1" thickTop="1" thickBot="1">
      <c r="A57" s="15"/>
      <c r="B57" s="16" t="s">
        <v>46</v>
      </c>
      <c r="C57" s="17">
        <f t="shared" si="5" ref="C57:T57">SUM(C8:C56)</f>
        <v>922815896789.61011</v>
      </c>
      <c r="D57" s="17">
        <f t="shared" si="5"/>
        <v>965443491403.08008</v>
      </c>
      <c r="E57" s="17">
        <f t="shared" si="5"/>
        <v>976724439518.28979</v>
      </c>
      <c r="F57" s="17">
        <f t="shared" si="5"/>
        <v>1011046091694</v>
      </c>
      <c r="G57" s="17">
        <f t="shared" si="5"/>
        <v>1061113621854.83</v>
      </c>
      <c r="H57" s="17">
        <f t="shared" si="5"/>
        <v>1122634438934.54</v>
      </c>
      <c r="I57" s="17">
        <f t="shared" si="5"/>
        <v>1151255531637</v>
      </c>
      <c r="J57" s="17">
        <f t="shared" si="5"/>
        <v>1196498135366.8401</v>
      </c>
      <c r="K57" s="17">
        <f t="shared" si="5"/>
        <v>1284007233518.23</v>
      </c>
      <c r="L57" s="17">
        <f t="shared" si="5"/>
        <v>1371475646264</v>
      </c>
      <c r="M57" s="17">
        <f t="shared" si="5"/>
        <v>1449461206649</v>
      </c>
      <c r="N57" s="17">
        <f t="shared" si="5"/>
        <v>1501543375088</v>
      </c>
      <c r="O57" s="17">
        <f t="shared" si="5"/>
        <v>1565091238487</v>
      </c>
      <c r="P57" s="426">
        <f t="shared" si="6" ref="P57">IF(L57=0," ",IF(L57&gt;0,ROUND(M57/L57*100,1)))</f>
        <v>105.70</v>
      </c>
      <c r="Q57" s="17">
        <f t="shared" si="5"/>
        <v>77985560385</v>
      </c>
      <c r="R57" s="17">
        <f t="shared" si="5"/>
        <v>165453973130.76999</v>
      </c>
      <c r="S57" s="264">
        <f t="shared" si="5"/>
        <v>52082168439</v>
      </c>
      <c r="T57" s="252">
        <f t="shared" si="5"/>
        <v>63547863399</v>
      </c>
    </row>
    <row r="58" ht="12.75">
      <c r="P58" s="320"/>
    </row>
    <row r="59" spans="2:11" ht="12.75">
      <c r="B59" s="1" t="s">
        <v>156</v>
      </c>
      <c r="I59" s="2"/>
      <c r="J59" s="2"/>
      <c r="K59" s="2"/>
    </row>
    <row r="60" spans="9:11" ht="12.75">
      <c r="I60" s="2"/>
      <c r="J60" s="2"/>
      <c r="K60" s="2"/>
    </row>
  </sheetData>
  <mergeCells count="1">
    <mergeCell ref="B5:N5"/>
  </mergeCells>
  <printOptions horizontalCentered="1" verticalCentered="1"/>
  <pageMargins left="0.078740157480315" right="0.0393700787401575" top="0.196850393700787" bottom="0.31496062992126" header="0.433070866141732" footer="0.31496062992126"/>
  <pageSetup orientation="landscape" paperSize="9" scale="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pageSetUpPr fitToPage="1"/>
  </sheetPr>
  <dimension ref="A1:R61"/>
  <sheetViews>
    <sheetView zoomScale="95" zoomScaleNormal="95" workbookViewId="0" topLeftCell="A1">
      <pane xSplit="2" ySplit="7" topLeftCell="G29" activePane="bottomRight" state="frozen"/>
      <selection pane="topLeft" activeCell="P16" sqref="P16"/>
      <selection pane="bottomLeft" activeCell="P16" sqref="P16"/>
      <selection pane="topRight" activeCell="P16" sqref="P16"/>
      <selection pane="bottomRight" activeCell="P16" sqref="P16"/>
    </sheetView>
  </sheetViews>
  <sheetFormatPr defaultRowHeight="12.75"/>
  <cols>
    <col min="1" max="1" width="9.28571428571429" style="1"/>
    <col min="2" max="2" width="42.7142857142857" style="1" customWidth="1"/>
    <col min="3" max="3" width="0" style="1" hidden="1" customWidth="1"/>
    <col min="4" max="4" width="0" style="1" hidden="1" customWidth="1"/>
    <col min="5" max="6" width="0" style="1" hidden="1" customWidth="1"/>
    <col min="7" max="7" width="17.7142857142857" style="1" customWidth="1"/>
    <col min="8" max="8" width="18.2857142857143" style="1" bestFit="1" customWidth="1"/>
    <col min="9" max="9" width="0" style="1" hidden="1" customWidth="1"/>
    <col min="10" max="11" width="17.7142857142857" style="1" customWidth="1"/>
    <col min="12" max="14" width="17.7142857142857" style="1" bestFit="1" customWidth="1"/>
    <col min="15" max="15" width="19.7142857142857" style="1" bestFit="1" customWidth="1"/>
    <col min="16" max="16" width="12.7142857142857" style="1" customWidth="1"/>
    <col min="17" max="17" width="17.7142857142857" style="1" bestFit="1" customWidth="1"/>
    <col min="18" max="18" width="16.5714285714286" style="1" bestFit="1" customWidth="1"/>
    <col min="19" max="16384" width="9.28571428571429" style="1"/>
  </cols>
  <sheetData>
    <row r="1" ht="12.75">
      <c r="N1" s="1" t="s">
        <v>58</v>
      </c>
    </row>
    <row r="2" spans="2:8" ht="12.75">
      <c r="B2" s="18" t="s">
        <v>47</v>
      </c>
      <c r="C2" s="18"/>
      <c r="D2" s="18"/>
      <c r="E2" s="18"/>
      <c r="F2" s="18"/>
      <c r="G2" s="18"/>
      <c r="H2" s="18"/>
    </row>
    <row r="3" spans="2:8" ht="14.25">
      <c r="B3" s="3" t="s">
        <v>171</v>
      </c>
      <c r="C3" s="3"/>
      <c r="D3" s="3"/>
      <c r="E3" s="3"/>
      <c r="F3" s="3"/>
      <c r="G3" s="3"/>
      <c r="H3" s="3"/>
    </row>
    <row r="5" spans="2:16" ht="12.7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316"/>
      <c r="P5" s="136"/>
    </row>
    <row r="6" ht="13.5" thickBot="1">
      <c r="O6" s="1" t="s">
        <v>1</v>
      </c>
    </row>
    <row r="7" spans="1:18" ht="54" customHeight="1" thickBot="1">
      <c r="A7" s="49" t="s">
        <v>2</v>
      </c>
      <c r="B7" s="50" t="s">
        <v>3</v>
      </c>
      <c r="C7" s="95" t="s">
        <v>82</v>
      </c>
      <c r="D7" s="95" t="s">
        <v>64</v>
      </c>
      <c r="E7" s="95" t="s">
        <v>83</v>
      </c>
      <c r="F7" s="95" t="s">
        <v>81</v>
      </c>
      <c r="G7" s="95" t="s">
        <v>84</v>
      </c>
      <c r="H7" s="95" t="s">
        <v>142</v>
      </c>
      <c r="I7" s="51" t="s">
        <v>143</v>
      </c>
      <c r="J7" s="137" t="s">
        <v>149</v>
      </c>
      <c r="K7" s="137" t="s">
        <v>165</v>
      </c>
      <c r="L7" s="51">
        <v>2019</v>
      </c>
      <c r="M7" s="51">
        <v>2020</v>
      </c>
      <c r="N7" s="51">
        <v>2021</v>
      </c>
      <c r="O7" s="321">
        <v>2022</v>
      </c>
      <c r="P7" s="85" t="s">
        <v>144</v>
      </c>
      <c r="Q7" s="68" t="s">
        <v>166</v>
      </c>
      <c r="R7" s="132" t="s">
        <v>167</v>
      </c>
    </row>
    <row r="8" spans="1:18" ht="12.75">
      <c r="A8" s="4">
        <v>301</v>
      </c>
      <c r="B8" s="5" t="s">
        <v>4</v>
      </c>
      <c r="C8" s="60"/>
      <c r="D8" s="60"/>
      <c r="E8" s="60"/>
      <c r="F8" s="60"/>
      <c r="G8" s="60"/>
      <c r="H8" s="60"/>
      <c r="I8" s="6"/>
      <c r="J8" s="48"/>
      <c r="K8" s="48"/>
      <c r="L8" s="48">
        <v>0</v>
      </c>
      <c r="M8" s="48">
        <v>0</v>
      </c>
      <c r="N8" s="48">
        <v>0</v>
      </c>
      <c r="O8" s="48">
        <v>0</v>
      </c>
      <c r="P8" s="145" t="str">
        <f t="shared" si="0" ref="P8:P57">IF(L8=0," ",IF(L8&gt;0,ROUND(M8/L8*100,1)))</f>
        <v xml:space="preserve"> </v>
      </c>
      <c r="Q8" s="6">
        <f>M8-L8</f>
        <v>0</v>
      </c>
      <c r="R8" s="19">
        <f>M8-K8</f>
        <v>0</v>
      </c>
    </row>
    <row r="9" spans="1:18" ht="12.75">
      <c r="A9" s="7">
        <v>302</v>
      </c>
      <c r="B9" s="8" t="s">
        <v>5</v>
      </c>
      <c r="C9" s="60"/>
      <c r="D9" s="60"/>
      <c r="E9" s="60"/>
      <c r="F9" s="60"/>
      <c r="G9" s="60"/>
      <c r="H9" s="60"/>
      <c r="I9" s="6"/>
      <c r="J9" s="48"/>
      <c r="K9" s="48"/>
      <c r="L9" s="48">
        <v>0</v>
      </c>
      <c r="M9" s="48">
        <v>0</v>
      </c>
      <c r="N9" s="48">
        <v>0</v>
      </c>
      <c r="O9" s="48">
        <v>0</v>
      </c>
      <c r="P9" s="145" t="str">
        <f t="shared" si="0"/>
        <v xml:space="preserve"> </v>
      </c>
      <c r="Q9" s="6">
        <f t="shared" si="1" ref="Q9:Q57">M9-L9</f>
        <v>0</v>
      </c>
      <c r="R9" s="19">
        <f t="shared" si="2" ref="R9:R57">M9-K9</f>
        <v>0</v>
      </c>
    </row>
    <row r="10" spans="1:18" ht="12.75">
      <c r="A10" s="7">
        <v>303</v>
      </c>
      <c r="B10" s="8" t="s">
        <v>6</v>
      </c>
      <c r="C10" s="60"/>
      <c r="D10" s="60"/>
      <c r="E10" s="60"/>
      <c r="F10" s="60"/>
      <c r="G10" s="60"/>
      <c r="H10" s="60"/>
      <c r="I10" s="6"/>
      <c r="J10" s="48"/>
      <c r="K10" s="48"/>
      <c r="L10" s="48">
        <v>0</v>
      </c>
      <c r="M10" s="48">
        <v>0</v>
      </c>
      <c r="N10" s="48">
        <v>0</v>
      </c>
      <c r="O10" s="48">
        <v>0</v>
      </c>
      <c r="P10" s="145" t="str">
        <f t="shared" si="0"/>
        <v xml:space="preserve"> </v>
      </c>
      <c r="Q10" s="6">
        <f t="shared" si="1"/>
        <v>0</v>
      </c>
      <c r="R10" s="19">
        <f t="shared" si="2"/>
        <v>0</v>
      </c>
    </row>
    <row r="11" spans="1:18" ht="12.75">
      <c r="A11" s="7">
        <v>304</v>
      </c>
      <c r="B11" s="8" t="s">
        <v>7</v>
      </c>
      <c r="C11" s="60"/>
      <c r="D11" s="60"/>
      <c r="E11" s="60"/>
      <c r="F11" s="60"/>
      <c r="G11" s="60"/>
      <c r="H11" s="60"/>
      <c r="I11" s="6"/>
      <c r="J11" s="48"/>
      <c r="K11" s="48"/>
      <c r="L11" s="48">
        <v>0</v>
      </c>
      <c r="M11" s="48">
        <v>0</v>
      </c>
      <c r="N11" s="48">
        <v>0</v>
      </c>
      <c r="O11" s="48">
        <v>0</v>
      </c>
      <c r="P11" s="145" t="str">
        <f t="shared" si="0"/>
        <v xml:space="preserve"> </v>
      </c>
      <c r="Q11" s="6">
        <f t="shared" si="1"/>
        <v>0</v>
      </c>
      <c r="R11" s="19">
        <f t="shared" si="2"/>
        <v>0</v>
      </c>
    </row>
    <row r="12" spans="1:18" ht="12.75">
      <c r="A12" s="7">
        <v>305</v>
      </c>
      <c r="B12" s="8" t="s">
        <v>8</v>
      </c>
      <c r="C12" s="60"/>
      <c r="D12" s="60"/>
      <c r="E12" s="60"/>
      <c r="F12" s="60"/>
      <c r="G12" s="60"/>
      <c r="H12" s="60"/>
      <c r="I12" s="6"/>
      <c r="J12" s="48"/>
      <c r="K12" s="48"/>
      <c r="L12" s="48">
        <v>0</v>
      </c>
      <c r="M12" s="48">
        <v>0</v>
      </c>
      <c r="N12" s="48">
        <v>0</v>
      </c>
      <c r="O12" s="48">
        <v>0</v>
      </c>
      <c r="P12" s="145" t="str">
        <f t="shared" si="0"/>
        <v xml:space="preserve"> </v>
      </c>
      <c r="Q12" s="6">
        <f t="shared" si="1"/>
        <v>0</v>
      </c>
      <c r="R12" s="19">
        <f t="shared" si="2"/>
        <v>0</v>
      </c>
    </row>
    <row r="13" spans="1:18" ht="12.75">
      <c r="A13" s="7">
        <v>306</v>
      </c>
      <c r="B13" s="8" t="s">
        <v>9</v>
      </c>
      <c r="C13" s="60"/>
      <c r="D13" s="60"/>
      <c r="E13" s="60"/>
      <c r="F13" s="60"/>
      <c r="G13" s="60"/>
      <c r="H13" s="60"/>
      <c r="I13" s="6"/>
      <c r="J13" s="48"/>
      <c r="K13" s="48"/>
      <c r="L13" s="48">
        <v>0</v>
      </c>
      <c r="M13" s="48">
        <v>0</v>
      </c>
      <c r="N13" s="48">
        <v>0</v>
      </c>
      <c r="O13" s="48">
        <v>0</v>
      </c>
      <c r="P13" s="145" t="str">
        <f t="shared" si="0"/>
        <v xml:space="preserve"> </v>
      </c>
      <c r="Q13" s="6">
        <f t="shared" si="1"/>
        <v>0</v>
      </c>
      <c r="R13" s="19">
        <f t="shared" si="2"/>
        <v>0</v>
      </c>
    </row>
    <row r="14" spans="1:18" ht="12.75">
      <c r="A14" s="7">
        <v>307</v>
      </c>
      <c r="B14" s="8" t="s">
        <v>10</v>
      </c>
      <c r="C14" s="60">
        <v>2169303489</v>
      </c>
      <c r="D14" s="60">
        <v>2832907178</v>
      </c>
      <c r="E14" s="60">
        <v>2883550982</v>
      </c>
      <c r="F14" s="60">
        <v>2898587766</v>
      </c>
      <c r="G14" s="60">
        <v>3098641445</v>
      </c>
      <c r="H14" s="60">
        <v>3579296067</v>
      </c>
      <c r="I14" s="6">
        <v>3977950950</v>
      </c>
      <c r="J14" s="6">
        <v>3787779400</v>
      </c>
      <c r="K14" s="6">
        <v>4445488486</v>
      </c>
      <c r="L14" s="48">
        <v>4459293197</v>
      </c>
      <c r="M14" s="48">
        <v>4633626622</v>
      </c>
      <c r="N14" s="48">
        <v>4886446074</v>
      </c>
      <c r="O14" s="48">
        <v>5128354464</v>
      </c>
      <c r="P14" s="145">
        <f t="shared" si="0"/>
        <v>103.90</v>
      </c>
      <c r="Q14" s="6">
        <f t="shared" si="1"/>
        <v>174333425</v>
      </c>
      <c r="R14" s="19">
        <f t="shared" si="2"/>
        <v>188138136</v>
      </c>
    </row>
    <row r="15" spans="1:18" ht="12.75">
      <c r="A15" s="7">
        <v>308</v>
      </c>
      <c r="B15" s="8" t="s">
        <v>11</v>
      </c>
      <c r="C15" s="60"/>
      <c r="D15" s="60"/>
      <c r="E15" s="60"/>
      <c r="F15" s="60"/>
      <c r="G15" s="60"/>
      <c r="H15" s="60"/>
      <c r="I15" s="6"/>
      <c r="J15" s="6"/>
      <c r="K15" s="6"/>
      <c r="L15" s="48">
        <v>0</v>
      </c>
      <c r="M15" s="48">
        <v>0</v>
      </c>
      <c r="N15" s="48">
        <v>0</v>
      </c>
      <c r="O15" s="48">
        <v>0</v>
      </c>
      <c r="P15" s="145" t="str">
        <f t="shared" si="0"/>
        <v xml:space="preserve"> </v>
      </c>
      <c r="Q15" s="6">
        <f t="shared" si="1"/>
        <v>0</v>
      </c>
      <c r="R15" s="19">
        <f t="shared" si="2"/>
        <v>0</v>
      </c>
    </row>
    <row r="16" spans="1:18" ht="12.75">
      <c r="A16" s="7">
        <v>309</v>
      </c>
      <c r="B16" s="8" t="s">
        <v>12</v>
      </c>
      <c r="C16" s="60"/>
      <c r="D16" s="60"/>
      <c r="E16" s="60"/>
      <c r="F16" s="60"/>
      <c r="G16" s="60"/>
      <c r="H16" s="60"/>
      <c r="I16" s="6"/>
      <c r="J16" s="6"/>
      <c r="K16" s="6"/>
      <c r="L16" s="48">
        <v>0</v>
      </c>
      <c r="M16" s="48">
        <v>0</v>
      </c>
      <c r="N16" s="48">
        <v>0</v>
      </c>
      <c r="O16" s="48">
        <v>0</v>
      </c>
      <c r="P16" s="145" t="str">
        <f t="shared" si="0"/>
        <v xml:space="preserve"> </v>
      </c>
      <c r="Q16" s="6">
        <f t="shared" si="1"/>
        <v>0</v>
      </c>
      <c r="R16" s="19">
        <f t="shared" si="2"/>
        <v>0</v>
      </c>
    </row>
    <row r="17" spans="1:18" ht="12.75">
      <c r="A17" s="7">
        <v>312</v>
      </c>
      <c r="B17" s="8" t="s">
        <v>13</v>
      </c>
      <c r="C17" s="60">
        <v>541314218</v>
      </c>
      <c r="D17" s="60">
        <v>512003834</v>
      </c>
      <c r="E17" s="60">
        <v>525129737.67000002</v>
      </c>
      <c r="F17" s="60">
        <v>516168490</v>
      </c>
      <c r="G17" s="60">
        <v>551983416</v>
      </c>
      <c r="H17" s="60">
        <v>572356097</v>
      </c>
      <c r="I17" s="6">
        <v>673046824</v>
      </c>
      <c r="J17" s="6">
        <v>692667925</v>
      </c>
      <c r="K17" s="6">
        <v>779674365</v>
      </c>
      <c r="L17" s="48">
        <v>763755436</v>
      </c>
      <c r="M17" s="48">
        <v>763755436</v>
      </c>
      <c r="N17" s="48">
        <v>805314112</v>
      </c>
      <c r="O17" s="48">
        <v>845181991</v>
      </c>
      <c r="P17" s="145">
        <f t="shared" si="0"/>
        <v>100</v>
      </c>
      <c r="Q17" s="6">
        <f t="shared" si="1"/>
        <v>0</v>
      </c>
      <c r="R17" s="19">
        <f t="shared" si="2"/>
        <v>-15918929</v>
      </c>
    </row>
    <row r="18" spans="1:18" ht="12.75">
      <c r="A18" s="7">
        <v>313</v>
      </c>
      <c r="B18" s="8" t="s">
        <v>14</v>
      </c>
      <c r="C18" s="60">
        <v>357449799260.11005</v>
      </c>
      <c r="D18" s="60">
        <v>361745195078.29004</v>
      </c>
      <c r="E18" s="60">
        <v>362368010193.23999</v>
      </c>
      <c r="F18" s="60">
        <v>372857976732.57996</v>
      </c>
      <c r="G18" s="60">
        <v>394065049425.41998</v>
      </c>
      <c r="H18" s="60">
        <v>416836713821</v>
      </c>
      <c r="I18" s="6">
        <v>435291645333</v>
      </c>
      <c r="J18" s="6">
        <v>453610695623.52002</v>
      </c>
      <c r="K18" s="6">
        <v>498697128142.62</v>
      </c>
      <c r="L18" s="48">
        <v>541418611534</v>
      </c>
      <c r="M18" s="48">
        <v>562874583125</v>
      </c>
      <c r="N18" s="48">
        <v>593579291727</v>
      </c>
      <c r="O18" s="48">
        <v>622965027073</v>
      </c>
      <c r="P18" s="145">
        <f t="shared" si="0"/>
        <v>104</v>
      </c>
      <c r="Q18" s="6">
        <f t="shared" si="1"/>
        <v>21455971591</v>
      </c>
      <c r="R18" s="19">
        <f t="shared" si="2"/>
        <v>64177454982.380005</v>
      </c>
    </row>
    <row r="19" spans="1:18" ht="12.75">
      <c r="A19" s="7">
        <v>314</v>
      </c>
      <c r="B19" s="8" t="s">
        <v>15</v>
      </c>
      <c r="C19" s="60">
        <v>5886541845</v>
      </c>
      <c r="D19" s="60">
        <v>5591896836</v>
      </c>
      <c r="E19" s="60">
        <v>5608826155.5</v>
      </c>
      <c r="F19" s="60">
        <v>5834563051.25</v>
      </c>
      <c r="G19" s="60">
        <v>6186744941</v>
      </c>
      <c r="H19" s="60">
        <v>6558634794</v>
      </c>
      <c r="I19" s="6">
        <v>6893563255</v>
      </c>
      <c r="J19" s="6">
        <v>7117241051</v>
      </c>
      <c r="K19" s="6">
        <v>8183089288</v>
      </c>
      <c r="L19" s="48">
        <v>8482355333</v>
      </c>
      <c r="M19" s="48">
        <v>8817502913</v>
      </c>
      <c r="N19" s="48">
        <v>8993182269</v>
      </c>
      <c r="O19" s="48">
        <v>9438398734</v>
      </c>
      <c r="P19" s="145">
        <f t="shared" si="0"/>
        <v>104</v>
      </c>
      <c r="Q19" s="6">
        <f t="shared" si="1"/>
        <v>335147580</v>
      </c>
      <c r="R19" s="19">
        <f t="shared" si="2"/>
        <v>634413625</v>
      </c>
    </row>
    <row r="20" spans="1:18" ht="12.75">
      <c r="A20" s="7">
        <v>315</v>
      </c>
      <c r="B20" s="8" t="s">
        <v>16</v>
      </c>
      <c r="C20" s="60"/>
      <c r="D20" s="60"/>
      <c r="E20" s="60"/>
      <c r="F20" s="60"/>
      <c r="G20" s="60"/>
      <c r="H20" s="60"/>
      <c r="I20" s="6"/>
      <c r="J20" s="6"/>
      <c r="K20" s="6"/>
      <c r="L20" s="6">
        <v>0</v>
      </c>
      <c r="M20" s="48">
        <v>0</v>
      </c>
      <c r="N20" s="48">
        <v>0</v>
      </c>
      <c r="O20" s="48">
        <v>0</v>
      </c>
      <c r="P20" s="145" t="str">
        <f t="shared" si="0"/>
        <v xml:space="preserve"> </v>
      </c>
      <c r="Q20" s="6">
        <f t="shared" si="1"/>
        <v>0</v>
      </c>
      <c r="R20" s="19">
        <f t="shared" si="2"/>
        <v>0</v>
      </c>
    </row>
    <row r="21" spans="1:18" ht="12.75">
      <c r="A21" s="7">
        <v>317</v>
      </c>
      <c r="B21" s="8" t="s">
        <v>17</v>
      </c>
      <c r="C21" s="60"/>
      <c r="D21" s="60"/>
      <c r="E21" s="60"/>
      <c r="F21" s="60"/>
      <c r="G21" s="60"/>
      <c r="H21" s="60"/>
      <c r="I21" s="6"/>
      <c r="J21" s="6"/>
      <c r="K21" s="6"/>
      <c r="L21" s="6">
        <v>0</v>
      </c>
      <c r="M21" s="6">
        <v>0</v>
      </c>
      <c r="N21" s="48">
        <v>0</v>
      </c>
      <c r="O21" s="48">
        <v>0</v>
      </c>
      <c r="P21" s="145" t="str">
        <f t="shared" si="0"/>
        <v xml:space="preserve"> </v>
      </c>
      <c r="Q21" s="6">
        <f t="shared" si="1"/>
        <v>0</v>
      </c>
      <c r="R21" s="19">
        <f t="shared" si="2"/>
        <v>0</v>
      </c>
    </row>
    <row r="22" spans="1:18" ht="12.75">
      <c r="A22" s="7">
        <v>321</v>
      </c>
      <c r="B22" s="8" t="s">
        <v>18</v>
      </c>
      <c r="C22" s="60"/>
      <c r="D22" s="60"/>
      <c r="E22" s="60"/>
      <c r="F22" s="60"/>
      <c r="G22" s="60"/>
      <c r="H22" s="60"/>
      <c r="I22" s="6"/>
      <c r="J22" s="6"/>
      <c r="K22" s="6"/>
      <c r="L22" s="6">
        <v>0</v>
      </c>
      <c r="M22" s="6">
        <v>0</v>
      </c>
      <c r="N22" s="6">
        <v>0</v>
      </c>
      <c r="O22" s="48">
        <v>0</v>
      </c>
      <c r="P22" s="145" t="str">
        <f t="shared" si="0"/>
        <v xml:space="preserve"> </v>
      </c>
      <c r="Q22" s="6">
        <f t="shared" si="1"/>
        <v>0</v>
      </c>
      <c r="R22" s="19">
        <f t="shared" si="2"/>
        <v>0</v>
      </c>
    </row>
    <row r="23" spans="1:18" ht="12.75">
      <c r="A23" s="7">
        <v>322</v>
      </c>
      <c r="B23" s="8" t="s">
        <v>19</v>
      </c>
      <c r="C23" s="60"/>
      <c r="D23" s="60"/>
      <c r="E23" s="60"/>
      <c r="F23" s="60"/>
      <c r="G23" s="60"/>
      <c r="H23" s="60"/>
      <c r="I23" s="6"/>
      <c r="J23" s="6"/>
      <c r="K23" s="6"/>
      <c r="L23" s="6">
        <v>0</v>
      </c>
      <c r="M23" s="6">
        <v>0</v>
      </c>
      <c r="N23" s="6">
        <v>0</v>
      </c>
      <c r="O23" s="6">
        <v>0</v>
      </c>
      <c r="P23" s="145" t="str">
        <f t="shared" si="0"/>
        <v xml:space="preserve"> </v>
      </c>
      <c r="Q23" s="6">
        <f t="shared" si="1"/>
        <v>0</v>
      </c>
      <c r="R23" s="19">
        <f t="shared" si="2"/>
        <v>0</v>
      </c>
    </row>
    <row r="24" spans="1:18" ht="12.75">
      <c r="A24" s="7">
        <v>327</v>
      </c>
      <c r="B24" s="8" t="s">
        <v>20</v>
      </c>
      <c r="C24" s="60"/>
      <c r="D24" s="60"/>
      <c r="E24" s="60"/>
      <c r="F24" s="60"/>
      <c r="G24" s="60"/>
      <c r="H24" s="60"/>
      <c r="I24" s="6"/>
      <c r="J24" s="6"/>
      <c r="K24" s="6"/>
      <c r="L24" s="6">
        <v>0</v>
      </c>
      <c r="M24" s="6">
        <v>0</v>
      </c>
      <c r="N24" s="6">
        <v>0</v>
      </c>
      <c r="O24" s="6">
        <v>0</v>
      </c>
      <c r="P24" s="145" t="str">
        <f t="shared" si="0"/>
        <v xml:space="preserve"> </v>
      </c>
      <c r="Q24" s="6">
        <f t="shared" si="1"/>
        <v>0</v>
      </c>
      <c r="R24" s="19">
        <f t="shared" si="2"/>
        <v>0</v>
      </c>
    </row>
    <row r="25" spans="1:18" ht="12.75">
      <c r="A25" s="7">
        <v>328</v>
      </c>
      <c r="B25" s="8" t="s">
        <v>21</v>
      </c>
      <c r="C25" s="60"/>
      <c r="D25" s="60"/>
      <c r="E25" s="60"/>
      <c r="F25" s="60"/>
      <c r="G25" s="60"/>
      <c r="H25" s="60"/>
      <c r="I25" s="6"/>
      <c r="J25" s="6"/>
      <c r="K25" s="6"/>
      <c r="L25" s="6">
        <v>0</v>
      </c>
      <c r="M25" s="6">
        <v>0</v>
      </c>
      <c r="N25" s="6">
        <v>0</v>
      </c>
      <c r="O25" s="6">
        <v>0</v>
      </c>
      <c r="P25" s="145" t="str">
        <f t="shared" si="0"/>
        <v xml:space="preserve"> </v>
      </c>
      <c r="Q25" s="6">
        <f t="shared" si="1"/>
        <v>0</v>
      </c>
      <c r="R25" s="19">
        <f t="shared" si="2"/>
        <v>0</v>
      </c>
    </row>
    <row r="26" spans="1:18" ht="12.75">
      <c r="A26" s="7">
        <v>329</v>
      </c>
      <c r="B26" s="8" t="s">
        <v>22</v>
      </c>
      <c r="C26" s="60"/>
      <c r="D26" s="60"/>
      <c r="E26" s="60"/>
      <c r="F26" s="60"/>
      <c r="G26" s="60"/>
      <c r="H26" s="60"/>
      <c r="I26" s="6"/>
      <c r="J26" s="6"/>
      <c r="K26" s="6"/>
      <c r="L26" s="6">
        <v>0</v>
      </c>
      <c r="M26" s="6">
        <v>0</v>
      </c>
      <c r="N26" s="6">
        <v>0</v>
      </c>
      <c r="O26" s="6">
        <v>0</v>
      </c>
      <c r="P26" s="145" t="str">
        <f t="shared" si="0"/>
        <v xml:space="preserve"> </v>
      </c>
      <c r="Q26" s="6">
        <f t="shared" si="1"/>
        <v>0</v>
      </c>
      <c r="R26" s="19">
        <f t="shared" si="2"/>
        <v>0</v>
      </c>
    </row>
    <row r="27" spans="1:18" ht="12.75">
      <c r="A27" s="7">
        <v>333</v>
      </c>
      <c r="B27" s="8" t="s">
        <v>23</v>
      </c>
      <c r="C27" s="60"/>
      <c r="D27" s="60"/>
      <c r="E27" s="60"/>
      <c r="F27" s="60"/>
      <c r="G27" s="60"/>
      <c r="H27" s="60"/>
      <c r="I27" s="6"/>
      <c r="J27" s="6"/>
      <c r="K27" s="6"/>
      <c r="L27" s="6">
        <v>0</v>
      </c>
      <c r="M27" s="6">
        <v>0</v>
      </c>
      <c r="N27" s="6">
        <v>0</v>
      </c>
      <c r="O27" s="6">
        <v>0</v>
      </c>
      <c r="P27" s="145" t="str">
        <f t="shared" si="0"/>
        <v xml:space="preserve"> </v>
      </c>
      <c r="Q27" s="6">
        <f t="shared" si="1"/>
        <v>0</v>
      </c>
      <c r="R27" s="19">
        <f t="shared" si="2"/>
        <v>0</v>
      </c>
    </row>
    <row r="28" spans="1:18" ht="12.75">
      <c r="A28" s="7">
        <v>334</v>
      </c>
      <c r="B28" s="8" t="s">
        <v>24</v>
      </c>
      <c r="C28" s="60"/>
      <c r="D28" s="60"/>
      <c r="E28" s="60"/>
      <c r="F28" s="60"/>
      <c r="G28" s="60"/>
      <c r="H28" s="60"/>
      <c r="I28" s="6"/>
      <c r="J28" s="6"/>
      <c r="K28" s="6"/>
      <c r="L28" s="6">
        <v>0</v>
      </c>
      <c r="M28" s="6">
        <v>0</v>
      </c>
      <c r="N28" s="6">
        <v>0</v>
      </c>
      <c r="O28" s="6">
        <v>0</v>
      </c>
      <c r="P28" s="145" t="str">
        <f t="shared" si="0"/>
        <v xml:space="preserve"> </v>
      </c>
      <c r="Q28" s="6">
        <f t="shared" si="1"/>
        <v>0</v>
      </c>
      <c r="R28" s="19">
        <f t="shared" si="2"/>
        <v>0</v>
      </c>
    </row>
    <row r="29" spans="1:18" ht="12.75">
      <c r="A29" s="7">
        <v>335</v>
      </c>
      <c r="B29" s="8" t="s">
        <v>25</v>
      </c>
      <c r="C29" s="60"/>
      <c r="D29" s="60"/>
      <c r="E29" s="60"/>
      <c r="F29" s="60"/>
      <c r="G29" s="60"/>
      <c r="H29" s="60"/>
      <c r="I29" s="6"/>
      <c r="J29" s="6"/>
      <c r="K29" s="6"/>
      <c r="L29" s="6">
        <v>0</v>
      </c>
      <c r="M29" s="6">
        <v>0</v>
      </c>
      <c r="N29" s="6">
        <v>0</v>
      </c>
      <c r="O29" s="6">
        <v>0</v>
      </c>
      <c r="P29" s="145" t="str">
        <f t="shared" si="0"/>
        <v xml:space="preserve"> </v>
      </c>
      <c r="Q29" s="6">
        <f t="shared" si="1"/>
        <v>0</v>
      </c>
      <c r="R29" s="19">
        <f t="shared" si="2"/>
        <v>0</v>
      </c>
    </row>
    <row r="30" spans="1:18" ht="12.75">
      <c r="A30" s="7">
        <v>336</v>
      </c>
      <c r="B30" s="8" t="s">
        <v>26</v>
      </c>
      <c r="C30" s="60">
        <v>770179371</v>
      </c>
      <c r="D30" s="60">
        <v>782010258</v>
      </c>
      <c r="E30" s="60">
        <v>763874011</v>
      </c>
      <c r="F30" s="60">
        <v>779315754</v>
      </c>
      <c r="G30" s="60">
        <v>823994470</v>
      </c>
      <c r="H30" s="215">
        <v>881266707</v>
      </c>
      <c r="I30" s="6">
        <v>946038098</v>
      </c>
      <c r="J30" s="6">
        <v>990362243</v>
      </c>
      <c r="K30" s="6">
        <v>1136523612</v>
      </c>
      <c r="L30" s="6">
        <v>1222836068</v>
      </c>
      <c r="M30" s="6">
        <v>1230195431</v>
      </c>
      <c r="N30" s="6">
        <v>1299414859</v>
      </c>
      <c r="O30" s="6">
        <v>1363743689</v>
      </c>
      <c r="P30" s="145">
        <f t="shared" si="0"/>
        <v>100.60</v>
      </c>
      <c r="Q30" s="6">
        <f t="shared" si="1"/>
        <v>7359363</v>
      </c>
      <c r="R30" s="19">
        <f t="shared" si="2"/>
        <v>93671819</v>
      </c>
    </row>
    <row r="31" spans="1:18" ht="12.75">
      <c r="A31" s="7">
        <v>343</v>
      </c>
      <c r="B31" s="8" t="s">
        <v>27</v>
      </c>
      <c r="C31" s="60"/>
      <c r="D31" s="60"/>
      <c r="E31" s="60"/>
      <c r="F31" s="60"/>
      <c r="G31" s="60"/>
      <c r="H31" s="60"/>
      <c r="I31" s="6"/>
      <c r="J31" s="6"/>
      <c r="K31" s="6"/>
      <c r="L31" s="6">
        <v>0</v>
      </c>
      <c r="M31" s="6">
        <v>0</v>
      </c>
      <c r="N31" s="6">
        <v>0</v>
      </c>
      <c r="O31" s="6">
        <v>0</v>
      </c>
      <c r="P31" s="145" t="str">
        <f t="shared" si="0"/>
        <v xml:space="preserve"> </v>
      </c>
      <c r="Q31" s="6">
        <f t="shared" si="1"/>
        <v>0</v>
      </c>
      <c r="R31" s="19">
        <f t="shared" si="2"/>
        <v>0</v>
      </c>
    </row>
    <row r="32" spans="1:18" ht="12.75">
      <c r="A32" s="7">
        <v>344</v>
      </c>
      <c r="B32" s="8" t="s">
        <v>28</v>
      </c>
      <c r="C32" s="60"/>
      <c r="D32" s="60"/>
      <c r="E32" s="60"/>
      <c r="F32" s="60"/>
      <c r="G32" s="60"/>
      <c r="H32" s="60"/>
      <c r="I32" s="6"/>
      <c r="J32" s="6"/>
      <c r="K32" s="6"/>
      <c r="L32" s="6">
        <v>0</v>
      </c>
      <c r="M32" s="6">
        <v>0</v>
      </c>
      <c r="N32" s="6">
        <v>0</v>
      </c>
      <c r="O32" s="6">
        <v>0</v>
      </c>
      <c r="P32" s="145" t="str">
        <f t="shared" si="0"/>
        <v xml:space="preserve"> </v>
      </c>
      <c r="Q32" s="6">
        <f t="shared" si="1"/>
        <v>0</v>
      </c>
      <c r="R32" s="19">
        <f t="shared" si="2"/>
        <v>0</v>
      </c>
    </row>
    <row r="33" spans="1:18" ht="12.75">
      <c r="A33" s="7">
        <v>345</v>
      </c>
      <c r="B33" s="8" t="s">
        <v>29</v>
      </c>
      <c r="C33" s="60"/>
      <c r="D33" s="60"/>
      <c r="E33" s="60"/>
      <c r="F33" s="60"/>
      <c r="G33" s="60"/>
      <c r="H33" s="60"/>
      <c r="I33" s="6"/>
      <c r="J33" s="6"/>
      <c r="K33" s="6"/>
      <c r="L33" s="6">
        <v>0</v>
      </c>
      <c r="M33" s="6">
        <v>0</v>
      </c>
      <c r="N33" s="6">
        <v>0</v>
      </c>
      <c r="O33" s="6">
        <v>0</v>
      </c>
      <c r="P33" s="145" t="str">
        <f t="shared" si="0"/>
        <v xml:space="preserve"> </v>
      </c>
      <c r="Q33" s="6">
        <f t="shared" si="1"/>
        <v>0</v>
      </c>
      <c r="R33" s="19">
        <f t="shared" si="2"/>
        <v>0</v>
      </c>
    </row>
    <row r="34" spans="1:18" ht="12.75">
      <c r="A34" s="7">
        <v>346</v>
      </c>
      <c r="B34" s="8" t="s">
        <v>30</v>
      </c>
      <c r="C34" s="60"/>
      <c r="D34" s="60"/>
      <c r="E34" s="60"/>
      <c r="F34" s="60"/>
      <c r="G34" s="60"/>
      <c r="H34" s="60"/>
      <c r="I34" s="6"/>
      <c r="J34" s="6"/>
      <c r="K34" s="6"/>
      <c r="L34" s="6">
        <v>0</v>
      </c>
      <c r="M34" s="6">
        <v>0</v>
      </c>
      <c r="N34" s="6">
        <v>0</v>
      </c>
      <c r="O34" s="6">
        <v>0</v>
      </c>
      <c r="P34" s="145" t="str">
        <f t="shared" si="0"/>
        <v xml:space="preserve"> </v>
      </c>
      <c r="Q34" s="6">
        <f t="shared" si="1"/>
        <v>0</v>
      </c>
      <c r="R34" s="19">
        <f t="shared" si="2"/>
        <v>0</v>
      </c>
    </row>
    <row r="35" spans="1:18" ht="12.75">
      <c r="A35" s="7">
        <v>348</v>
      </c>
      <c r="B35" s="8" t="s">
        <v>31</v>
      </c>
      <c r="C35" s="60"/>
      <c r="D35" s="60"/>
      <c r="E35" s="60"/>
      <c r="F35" s="60"/>
      <c r="G35" s="60"/>
      <c r="H35" s="60"/>
      <c r="I35" s="6"/>
      <c r="J35" s="6"/>
      <c r="K35" s="6"/>
      <c r="L35" s="6">
        <v>0</v>
      </c>
      <c r="M35" s="6">
        <v>0</v>
      </c>
      <c r="N35" s="6">
        <v>0</v>
      </c>
      <c r="O35" s="6">
        <v>0</v>
      </c>
      <c r="P35" s="145" t="str">
        <f t="shared" si="0"/>
        <v xml:space="preserve"> </v>
      </c>
      <c r="Q35" s="6">
        <f t="shared" si="1"/>
        <v>0</v>
      </c>
      <c r="R35" s="19">
        <f t="shared" si="2"/>
        <v>0</v>
      </c>
    </row>
    <row r="36" spans="1:18" ht="12.75">
      <c r="A36" s="7">
        <v>349</v>
      </c>
      <c r="B36" s="8" t="s">
        <v>32</v>
      </c>
      <c r="C36" s="60"/>
      <c r="D36" s="60"/>
      <c r="E36" s="60"/>
      <c r="F36" s="60"/>
      <c r="G36" s="60"/>
      <c r="H36" s="60"/>
      <c r="I36" s="6"/>
      <c r="J36" s="6"/>
      <c r="K36" s="6"/>
      <c r="L36" s="6">
        <v>0</v>
      </c>
      <c r="M36" s="6">
        <v>0</v>
      </c>
      <c r="N36" s="6">
        <v>0</v>
      </c>
      <c r="O36" s="6">
        <v>0</v>
      </c>
      <c r="P36" s="145" t="str">
        <f t="shared" si="0"/>
        <v xml:space="preserve"> </v>
      </c>
      <c r="Q36" s="6">
        <f t="shared" si="1"/>
        <v>0</v>
      </c>
      <c r="R36" s="19">
        <f t="shared" si="2"/>
        <v>0</v>
      </c>
    </row>
    <row r="37" spans="1:18" ht="12.75">
      <c r="A37" s="7">
        <v>353</v>
      </c>
      <c r="B37" s="8" t="s">
        <v>33</v>
      </c>
      <c r="C37" s="60"/>
      <c r="D37" s="60"/>
      <c r="E37" s="60"/>
      <c r="F37" s="60"/>
      <c r="G37" s="60"/>
      <c r="H37" s="60"/>
      <c r="I37" s="6"/>
      <c r="J37" s="6"/>
      <c r="K37" s="6"/>
      <c r="L37" s="6">
        <v>0</v>
      </c>
      <c r="M37" s="6">
        <v>0</v>
      </c>
      <c r="N37" s="6">
        <v>0</v>
      </c>
      <c r="O37" s="6">
        <v>0</v>
      </c>
      <c r="P37" s="145" t="str">
        <f t="shared" si="0"/>
        <v xml:space="preserve"> </v>
      </c>
      <c r="Q37" s="6">
        <f t="shared" si="1"/>
        <v>0</v>
      </c>
      <c r="R37" s="19">
        <f t="shared" si="2"/>
        <v>0</v>
      </c>
    </row>
    <row r="38" spans="1:18" ht="12.75">
      <c r="A38" s="7">
        <v>355</v>
      </c>
      <c r="B38" s="8" t="s">
        <v>34</v>
      </c>
      <c r="C38" s="60"/>
      <c r="D38" s="60"/>
      <c r="E38" s="60"/>
      <c r="F38" s="60"/>
      <c r="G38" s="60"/>
      <c r="H38" s="60"/>
      <c r="I38" s="6"/>
      <c r="J38" s="6"/>
      <c r="K38" s="6"/>
      <c r="L38" s="6">
        <v>0</v>
      </c>
      <c r="M38" s="6">
        <v>0</v>
      </c>
      <c r="N38" s="6">
        <v>0</v>
      </c>
      <c r="O38" s="6">
        <v>0</v>
      </c>
      <c r="P38" s="145" t="str">
        <f t="shared" si="0"/>
        <v xml:space="preserve"> </v>
      </c>
      <c r="Q38" s="6">
        <f t="shared" si="1"/>
        <v>0</v>
      </c>
      <c r="R38" s="19">
        <f t="shared" si="2"/>
        <v>0</v>
      </c>
    </row>
    <row r="39" spans="1:18" ht="12.75">
      <c r="A39" s="7">
        <v>358</v>
      </c>
      <c r="B39" s="8" t="s">
        <v>35</v>
      </c>
      <c r="C39" s="60"/>
      <c r="D39" s="60"/>
      <c r="E39" s="60"/>
      <c r="F39" s="60"/>
      <c r="G39" s="60"/>
      <c r="H39" s="60"/>
      <c r="I39" s="6"/>
      <c r="J39" s="6"/>
      <c r="K39" s="6"/>
      <c r="L39" s="6">
        <v>0</v>
      </c>
      <c r="M39" s="6">
        <v>0</v>
      </c>
      <c r="N39" s="6">
        <v>0</v>
      </c>
      <c r="O39" s="6">
        <v>0</v>
      </c>
      <c r="P39" s="145" t="str">
        <f t="shared" si="0"/>
        <v xml:space="preserve"> </v>
      </c>
      <c r="Q39" s="6">
        <f t="shared" si="1"/>
        <v>0</v>
      </c>
      <c r="R39" s="19">
        <f t="shared" si="2"/>
        <v>0</v>
      </c>
    </row>
    <row r="40" spans="1:18" ht="12.75">
      <c r="A40" s="7">
        <v>359</v>
      </c>
      <c r="B40" s="8" t="s">
        <v>139</v>
      </c>
      <c r="C40" s="60"/>
      <c r="D40" s="60"/>
      <c r="E40" s="60"/>
      <c r="F40" s="60"/>
      <c r="G40" s="60"/>
      <c r="H40" s="60"/>
      <c r="I40" s="6"/>
      <c r="J40" s="6"/>
      <c r="K40" s="6"/>
      <c r="L40" s="6">
        <v>0</v>
      </c>
      <c r="M40" s="6">
        <v>0</v>
      </c>
      <c r="N40" s="6">
        <v>0</v>
      </c>
      <c r="O40" s="6">
        <v>0</v>
      </c>
      <c r="P40" s="145" t="str">
        <f t="shared" si="0"/>
        <v xml:space="preserve"> </v>
      </c>
      <c r="Q40" s="6">
        <f t="shared" si="1"/>
        <v>0</v>
      </c>
      <c r="R40" s="19">
        <f t="shared" si="2"/>
        <v>0</v>
      </c>
    </row>
    <row r="41" spans="1:18" ht="12.75">
      <c r="A41" s="7">
        <v>361</v>
      </c>
      <c r="B41" s="8" t="s">
        <v>36</v>
      </c>
      <c r="C41" s="60"/>
      <c r="D41" s="60"/>
      <c r="E41" s="60"/>
      <c r="F41" s="60"/>
      <c r="G41" s="60"/>
      <c r="H41" s="60"/>
      <c r="I41" s="6"/>
      <c r="J41" s="6"/>
      <c r="K41" s="6"/>
      <c r="L41" s="6">
        <v>0</v>
      </c>
      <c r="M41" s="6">
        <v>0</v>
      </c>
      <c r="N41" s="6">
        <v>0</v>
      </c>
      <c r="O41" s="6">
        <v>0</v>
      </c>
      <c r="P41" s="145" t="str">
        <f t="shared" si="0"/>
        <v xml:space="preserve"> </v>
      </c>
      <c r="Q41" s="6">
        <f t="shared" si="1"/>
        <v>0</v>
      </c>
      <c r="R41" s="19">
        <f t="shared" si="2"/>
        <v>0</v>
      </c>
    </row>
    <row r="42" spans="1:18" ht="17.25" customHeight="1">
      <c r="A42" s="7">
        <v>362</v>
      </c>
      <c r="B42" s="8" t="s">
        <v>164</v>
      </c>
      <c r="C42" s="60"/>
      <c r="D42" s="60"/>
      <c r="E42" s="60"/>
      <c r="F42" s="60"/>
      <c r="G42" s="60"/>
      <c r="H42" s="60"/>
      <c r="I42" s="6"/>
      <c r="J42" s="6"/>
      <c r="K42" s="6"/>
      <c r="L42" s="48">
        <v>0</v>
      </c>
      <c r="M42" s="6">
        <v>0</v>
      </c>
      <c r="N42" s="6">
        <v>0</v>
      </c>
      <c r="O42" s="6">
        <v>0</v>
      </c>
      <c r="P42" s="145" t="str">
        <f t="shared" si="0"/>
        <v xml:space="preserve"> </v>
      </c>
      <c r="Q42" s="6">
        <f t="shared" si="1"/>
        <v>0</v>
      </c>
      <c r="R42" s="19">
        <f t="shared" si="2"/>
        <v>0</v>
      </c>
    </row>
    <row r="43" spans="1:18" ht="25.5">
      <c r="A43" s="7">
        <v>371</v>
      </c>
      <c r="B43" s="188" t="s">
        <v>140</v>
      </c>
      <c r="C43" s="60"/>
      <c r="D43" s="60"/>
      <c r="E43" s="60"/>
      <c r="F43" s="60"/>
      <c r="G43" s="60"/>
      <c r="H43" s="60"/>
      <c r="I43" s="6"/>
      <c r="J43" s="6"/>
      <c r="K43" s="6"/>
      <c r="L43" s="48">
        <v>0</v>
      </c>
      <c r="M43" s="48">
        <v>0</v>
      </c>
      <c r="N43" s="6">
        <v>0</v>
      </c>
      <c r="O43" s="6">
        <v>0</v>
      </c>
      <c r="P43" s="145" t="str">
        <f t="shared" si="0"/>
        <v xml:space="preserve"> </v>
      </c>
      <c r="Q43" s="6">
        <f t="shared" si="1"/>
        <v>0</v>
      </c>
      <c r="R43" s="19">
        <f t="shared" si="2"/>
        <v>0</v>
      </c>
    </row>
    <row r="44" spans="1:18" ht="12.75">
      <c r="A44" s="7">
        <v>372</v>
      </c>
      <c r="B44" s="8" t="s">
        <v>37</v>
      </c>
      <c r="C44" s="60"/>
      <c r="D44" s="60"/>
      <c r="E44" s="60"/>
      <c r="F44" s="60"/>
      <c r="G44" s="60"/>
      <c r="H44" s="60"/>
      <c r="I44" s="6"/>
      <c r="J44" s="6"/>
      <c r="K44" s="6"/>
      <c r="L44" s="48">
        <v>0</v>
      </c>
      <c r="M44" s="48">
        <v>0</v>
      </c>
      <c r="N44" s="48">
        <v>0</v>
      </c>
      <c r="O44" s="6">
        <v>0</v>
      </c>
      <c r="P44" s="145" t="str">
        <f t="shared" si="0"/>
        <v xml:space="preserve"> </v>
      </c>
      <c r="Q44" s="6">
        <f t="shared" si="1"/>
        <v>0</v>
      </c>
      <c r="R44" s="19">
        <f t="shared" si="2"/>
        <v>0</v>
      </c>
    </row>
    <row r="45" spans="1:18" ht="12.75">
      <c r="A45" s="7">
        <v>373</v>
      </c>
      <c r="B45" s="8" t="s">
        <v>141</v>
      </c>
      <c r="C45" s="60"/>
      <c r="D45" s="60"/>
      <c r="E45" s="60"/>
      <c r="F45" s="60"/>
      <c r="G45" s="60"/>
      <c r="H45" s="60"/>
      <c r="I45" s="6"/>
      <c r="J45" s="6"/>
      <c r="K45" s="6"/>
      <c r="L45" s="48">
        <v>0</v>
      </c>
      <c r="M45" s="48">
        <v>0</v>
      </c>
      <c r="N45" s="48">
        <v>0</v>
      </c>
      <c r="O45" s="48">
        <v>0</v>
      </c>
      <c r="P45" s="145" t="str">
        <f t="shared" si="0"/>
        <v xml:space="preserve"> </v>
      </c>
      <c r="Q45" s="6">
        <f t="shared" si="1"/>
        <v>0</v>
      </c>
      <c r="R45" s="19">
        <f t="shared" si="2"/>
        <v>0</v>
      </c>
    </row>
    <row r="46" spans="1:18" ht="12.75">
      <c r="A46" s="7">
        <v>374</v>
      </c>
      <c r="B46" s="8" t="s">
        <v>38</v>
      </c>
      <c r="C46" s="60"/>
      <c r="D46" s="60"/>
      <c r="E46" s="60"/>
      <c r="F46" s="60"/>
      <c r="G46" s="60"/>
      <c r="H46" s="60"/>
      <c r="I46" s="6"/>
      <c r="J46" s="6"/>
      <c r="K46" s="6"/>
      <c r="L46" s="48">
        <v>0</v>
      </c>
      <c r="M46" s="48">
        <v>0</v>
      </c>
      <c r="N46" s="48">
        <v>0</v>
      </c>
      <c r="O46" s="48">
        <v>0</v>
      </c>
      <c r="P46" s="145" t="str">
        <f t="shared" si="0"/>
        <v xml:space="preserve"> </v>
      </c>
      <c r="Q46" s="6">
        <f t="shared" si="1"/>
        <v>0</v>
      </c>
      <c r="R46" s="19">
        <f t="shared" si="2"/>
        <v>0</v>
      </c>
    </row>
    <row r="47" spans="1:18" ht="12.75">
      <c r="A47" s="7">
        <v>375</v>
      </c>
      <c r="B47" s="8" t="s">
        <v>39</v>
      </c>
      <c r="C47" s="60"/>
      <c r="D47" s="60"/>
      <c r="E47" s="60"/>
      <c r="F47" s="60"/>
      <c r="G47" s="60"/>
      <c r="H47" s="60"/>
      <c r="I47" s="6"/>
      <c r="J47" s="6"/>
      <c r="K47" s="6"/>
      <c r="L47" s="48">
        <v>0</v>
      </c>
      <c r="M47" s="48">
        <v>0</v>
      </c>
      <c r="N47" s="48">
        <v>0</v>
      </c>
      <c r="O47" s="48">
        <v>0</v>
      </c>
      <c r="P47" s="145" t="str">
        <f t="shared" si="0"/>
        <v xml:space="preserve"> </v>
      </c>
      <c r="Q47" s="6">
        <f t="shared" si="1"/>
        <v>0</v>
      </c>
      <c r="R47" s="19">
        <f t="shared" si="2"/>
        <v>0</v>
      </c>
    </row>
    <row r="48" spans="1:18" ht="12.75">
      <c r="A48" s="7">
        <v>376</v>
      </c>
      <c r="B48" s="8" t="s">
        <v>40</v>
      </c>
      <c r="C48" s="60"/>
      <c r="D48" s="60">
        <v>34006486</v>
      </c>
      <c r="E48" s="60">
        <v>39513844</v>
      </c>
      <c r="F48" s="60">
        <v>41578265</v>
      </c>
      <c r="G48" s="60">
        <v>42345765</v>
      </c>
      <c r="H48" s="60">
        <v>43397677</v>
      </c>
      <c r="I48" s="6">
        <v>47310525</v>
      </c>
      <c r="J48" s="6">
        <v>57222843</v>
      </c>
      <c r="K48" s="6">
        <v>64602590</v>
      </c>
      <c r="L48" s="48">
        <v>69450396</v>
      </c>
      <c r="M48" s="48">
        <v>69450396</v>
      </c>
      <c r="N48" s="48">
        <v>60962461</v>
      </c>
      <c r="O48" s="48">
        <v>63980469</v>
      </c>
      <c r="P48" s="145">
        <f t="shared" si="0"/>
        <v>100</v>
      </c>
      <c r="Q48" s="6">
        <f t="shared" si="1"/>
        <v>0</v>
      </c>
      <c r="R48" s="19">
        <f t="shared" si="2"/>
        <v>4847806</v>
      </c>
    </row>
    <row r="49" spans="1:18" ht="12.75">
      <c r="A49" s="7">
        <v>377</v>
      </c>
      <c r="B49" s="8" t="s">
        <v>41</v>
      </c>
      <c r="C49" s="60"/>
      <c r="D49" s="60"/>
      <c r="E49" s="60"/>
      <c r="F49" s="60"/>
      <c r="G49" s="60"/>
      <c r="H49" s="60"/>
      <c r="I49" s="6"/>
      <c r="J49" s="6"/>
      <c r="K49" s="6"/>
      <c r="L49" s="48">
        <v>0</v>
      </c>
      <c r="M49" s="48">
        <v>0</v>
      </c>
      <c r="N49" s="48">
        <v>0</v>
      </c>
      <c r="O49" s="48">
        <v>0</v>
      </c>
      <c r="P49" s="145" t="str">
        <f t="shared" si="0"/>
        <v xml:space="preserve"> </v>
      </c>
      <c r="Q49" s="6">
        <f t="shared" si="1"/>
        <v>0</v>
      </c>
      <c r="R49" s="19">
        <f t="shared" si="2"/>
        <v>0</v>
      </c>
    </row>
    <row r="50" spans="1:18" ht="25.5">
      <c r="A50" s="7">
        <v>378</v>
      </c>
      <c r="B50" s="188" t="s">
        <v>148</v>
      </c>
      <c r="C50" s="60"/>
      <c r="D50" s="60"/>
      <c r="E50" s="60"/>
      <c r="F50" s="60"/>
      <c r="G50" s="60"/>
      <c r="H50" s="60"/>
      <c r="I50" s="6"/>
      <c r="J50" s="6"/>
      <c r="K50" s="6"/>
      <c r="L50" s="48">
        <v>0</v>
      </c>
      <c r="M50" s="48">
        <v>0</v>
      </c>
      <c r="N50" s="48">
        <v>0</v>
      </c>
      <c r="O50" s="48">
        <v>0</v>
      </c>
      <c r="P50" s="145" t="str">
        <f t="shared" si="0"/>
        <v xml:space="preserve"> </v>
      </c>
      <c r="Q50" s="6">
        <f t="shared" si="1"/>
        <v>0</v>
      </c>
      <c r="R50" s="19">
        <f t="shared" si="2"/>
        <v>0</v>
      </c>
    </row>
    <row r="51" spans="1:18" ht="12.75">
      <c r="A51" s="7">
        <v>381</v>
      </c>
      <c r="B51" s="8" t="s">
        <v>42</v>
      </c>
      <c r="C51" s="60"/>
      <c r="D51" s="60"/>
      <c r="E51" s="60"/>
      <c r="F51" s="60"/>
      <c r="G51" s="60"/>
      <c r="H51" s="60"/>
      <c r="I51" s="6"/>
      <c r="J51" s="6"/>
      <c r="K51" s="6"/>
      <c r="L51" s="48">
        <v>0</v>
      </c>
      <c r="M51" s="48">
        <v>0</v>
      </c>
      <c r="N51" s="48">
        <v>0</v>
      </c>
      <c r="O51" s="48">
        <v>0</v>
      </c>
      <c r="P51" s="145" t="str">
        <f t="shared" si="0"/>
        <v xml:space="preserve"> </v>
      </c>
      <c r="Q51" s="6">
        <f t="shared" si="1"/>
        <v>0</v>
      </c>
      <c r="R51" s="19">
        <f t="shared" si="2"/>
        <v>0</v>
      </c>
    </row>
    <row r="52" spans="1:18" ht="12.75">
      <c r="A52" s="7">
        <v>396</v>
      </c>
      <c r="B52" s="8" t="s">
        <v>43</v>
      </c>
      <c r="C52" s="60"/>
      <c r="D52" s="60"/>
      <c r="E52" s="60"/>
      <c r="F52" s="60"/>
      <c r="G52" s="60"/>
      <c r="H52" s="60"/>
      <c r="I52" s="6"/>
      <c r="J52" s="6"/>
      <c r="K52" s="6"/>
      <c r="L52" s="48">
        <v>0</v>
      </c>
      <c r="M52" s="48">
        <v>0</v>
      </c>
      <c r="N52" s="48">
        <v>0</v>
      </c>
      <c r="O52" s="48">
        <v>0</v>
      </c>
      <c r="P52" s="145" t="str">
        <f t="shared" si="0"/>
        <v xml:space="preserve"> </v>
      </c>
      <c r="Q52" s="6">
        <f t="shared" si="1"/>
        <v>0</v>
      </c>
      <c r="R52" s="19">
        <f t="shared" si="2"/>
        <v>0</v>
      </c>
    </row>
    <row r="53" spans="1:18" ht="12.75">
      <c r="A53" s="7">
        <v>397</v>
      </c>
      <c r="B53" s="8" t="s">
        <v>44</v>
      </c>
      <c r="C53" s="60"/>
      <c r="D53" s="60"/>
      <c r="E53" s="60"/>
      <c r="F53" s="60"/>
      <c r="G53" s="60"/>
      <c r="H53" s="60"/>
      <c r="I53" s="6"/>
      <c r="J53" s="6"/>
      <c r="K53" s="6"/>
      <c r="L53" s="48">
        <v>0</v>
      </c>
      <c r="M53" s="48">
        <v>0</v>
      </c>
      <c r="N53" s="48">
        <v>0</v>
      </c>
      <c r="O53" s="48">
        <v>0</v>
      </c>
      <c r="P53" s="145" t="str">
        <f t="shared" si="0"/>
        <v xml:space="preserve"> </v>
      </c>
      <c r="Q53" s="6">
        <f t="shared" si="1"/>
        <v>0</v>
      </c>
      <c r="R53" s="19">
        <f t="shared" si="2"/>
        <v>0</v>
      </c>
    </row>
    <row r="54" spans="1:18" ht="12.75">
      <c r="A54" s="7">
        <v>398</v>
      </c>
      <c r="B54" s="8" t="s">
        <v>45</v>
      </c>
      <c r="C54" s="60"/>
      <c r="D54" s="60"/>
      <c r="E54" s="60"/>
      <c r="F54" s="60"/>
      <c r="G54" s="60"/>
      <c r="H54" s="60"/>
      <c r="I54" s="6"/>
      <c r="J54" s="6"/>
      <c r="K54" s="6"/>
      <c r="L54" s="48">
        <v>0</v>
      </c>
      <c r="M54" s="48">
        <v>0</v>
      </c>
      <c r="N54" s="48">
        <v>0</v>
      </c>
      <c r="O54" s="48">
        <v>0</v>
      </c>
      <c r="P54" s="145" t="str">
        <f t="shared" si="0"/>
        <v xml:space="preserve"> </v>
      </c>
      <c r="Q54" s="6">
        <f t="shared" si="1"/>
        <v>0</v>
      </c>
      <c r="R54" s="19">
        <f t="shared" si="2"/>
        <v>0</v>
      </c>
    </row>
    <row r="55" spans="1:18" ht="12.75">
      <c r="A55" s="9"/>
      <c r="B55" s="10"/>
      <c r="C55" s="94"/>
      <c r="D55" s="94"/>
      <c r="E55" s="94"/>
      <c r="F55" s="94"/>
      <c r="G55" s="94"/>
      <c r="H55" s="94"/>
      <c r="I55" s="6"/>
      <c r="J55" s="11"/>
      <c r="K55" s="11"/>
      <c r="L55" s="11"/>
      <c r="M55" s="48"/>
      <c r="N55" s="48"/>
      <c r="O55" s="48"/>
      <c r="P55" s="146" t="str">
        <f t="shared" si="0"/>
        <v xml:space="preserve"> </v>
      </c>
      <c r="Q55" s="6">
        <f t="shared" si="1"/>
        <v>0</v>
      </c>
      <c r="R55" s="19">
        <f t="shared" si="2"/>
        <v>0</v>
      </c>
    </row>
    <row r="56" spans="1:18" ht="13.5" thickBot="1">
      <c r="A56" s="12"/>
      <c r="B56" s="13"/>
      <c r="C56" s="59"/>
      <c r="D56" s="59"/>
      <c r="E56" s="59"/>
      <c r="F56" s="59"/>
      <c r="G56" s="59"/>
      <c r="H56" s="59"/>
      <c r="I56" s="14"/>
      <c r="J56" s="14"/>
      <c r="K56" s="14"/>
      <c r="L56" s="14"/>
      <c r="M56" s="14"/>
      <c r="N56" s="138"/>
      <c r="O56" s="138"/>
      <c r="P56" s="147" t="str">
        <f t="shared" si="0"/>
        <v xml:space="preserve"> </v>
      </c>
      <c r="Q56" s="14">
        <f t="shared" si="1"/>
        <v>0</v>
      </c>
      <c r="R56" s="24">
        <f t="shared" si="2"/>
        <v>0</v>
      </c>
    </row>
    <row r="57" spans="1:18" ht="17.25" customHeight="1" thickTop="1" thickBot="1">
      <c r="A57" s="15"/>
      <c r="B57" s="16" t="s">
        <v>46</v>
      </c>
      <c r="C57" s="17">
        <f t="shared" si="3" ref="C57:O57">SUM(C8:C56)</f>
        <v>366817138183.11005</v>
      </c>
      <c r="D57" s="17">
        <f t="shared" si="3"/>
        <v>371498019670.29004</v>
      </c>
      <c r="E57" s="17">
        <f t="shared" si="3"/>
        <v>372188904923.40997</v>
      </c>
      <c r="F57" s="17">
        <f t="shared" si="3"/>
        <v>382928190058.82996</v>
      </c>
      <c r="G57" s="17">
        <f t="shared" si="3"/>
        <v>404768759462.41998</v>
      </c>
      <c r="H57" s="17">
        <f t="shared" si="3"/>
        <v>428471665163</v>
      </c>
      <c r="I57" s="17">
        <f t="shared" si="3"/>
        <v>447829554985</v>
      </c>
      <c r="J57" s="17">
        <f t="shared" si="3"/>
        <v>466255969085.52002</v>
      </c>
      <c r="K57" s="17">
        <f t="shared" si="3"/>
        <v>513306506483.62</v>
      </c>
      <c r="L57" s="17">
        <f t="shared" si="3"/>
        <v>556416301964</v>
      </c>
      <c r="M57" s="17">
        <f t="shared" si="3"/>
        <v>578389113923</v>
      </c>
      <c r="N57" s="17">
        <f t="shared" si="3"/>
        <v>609624611502</v>
      </c>
      <c r="O57" s="17">
        <f t="shared" si="3"/>
        <v>639804686420</v>
      </c>
      <c r="P57" s="323">
        <f t="shared" si="0"/>
        <v>103.90</v>
      </c>
      <c r="Q57" s="17">
        <f t="shared" si="1"/>
        <v>21972811959</v>
      </c>
      <c r="R57" s="47">
        <f t="shared" si="2"/>
        <v>65082607439.380005</v>
      </c>
    </row>
    <row r="60" ht="12.75">
      <c r="K60" s="1">
        <f>496.9</f>
        <v>496.90</v>
      </c>
    </row>
    <row r="61" spans="10:11" ht="12.75">
      <c r="J61" s="1" t="s">
        <v>238</v>
      </c>
      <c r="K61" s="1">
        <f>513.3-K60</f>
        <v>16.399999999999977</v>
      </c>
    </row>
  </sheetData>
  <mergeCells count="1">
    <mergeCell ref="B5:N5"/>
  </mergeCells>
  <printOptions horizontalCentered="1"/>
  <pageMargins left="0.511811023622047" right="0.551181102362205" top="0.69" bottom="0.72" header="0.511811023622047" footer="0.511811023622047"/>
  <pageSetup orientation="landscape" paperSize="9" scale="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pageSetUpPr fitToPage="1"/>
  </sheetPr>
  <dimension ref="A1:P59"/>
  <sheetViews>
    <sheetView zoomScale="89" zoomScaleNormal="89" workbookViewId="0" topLeftCell="A1">
      <pane xSplit="2" ySplit="7" topLeftCell="G8" activePane="bottomRight" state="frozen"/>
      <selection pane="topLeft" activeCell="P16" sqref="P16"/>
      <selection pane="bottomLeft" activeCell="P16" sqref="P16"/>
      <selection pane="topRight" activeCell="P16" sqref="P16"/>
      <selection pane="bottomRight" activeCell="M19" sqref="M19"/>
    </sheetView>
  </sheetViews>
  <sheetFormatPr defaultRowHeight="12.75"/>
  <cols>
    <col min="1" max="1" width="9.28571428571429" style="1"/>
    <col min="2" max="2" width="42.7142857142857" style="1" customWidth="1"/>
    <col min="3" max="4" width="0" style="1" hidden="1" customWidth="1"/>
    <col min="5" max="5" width="0" style="1" hidden="1" customWidth="1"/>
    <col min="6" max="6" width="0" style="1" hidden="1" customWidth="1"/>
    <col min="7" max="8" width="18.1428571428571" style="1" customWidth="1"/>
    <col min="9" max="9" width="0" style="151" hidden="1" customWidth="1"/>
    <col min="10" max="10" width="18.2857142857143" style="151" customWidth="1"/>
    <col min="11" max="11" width="19" style="151" bestFit="1" customWidth="1"/>
    <col min="12" max="13" width="18.2857142857143" style="1" customWidth="1"/>
    <col min="14" max="14" width="12.2857142857143" style="1" bestFit="1" customWidth="1"/>
    <col min="15" max="15" width="18" style="1" customWidth="1"/>
    <col min="16" max="16" width="18.5714285714286" style="1" bestFit="1" customWidth="1"/>
    <col min="17" max="16384" width="9.28571428571429" style="1"/>
  </cols>
  <sheetData>
    <row r="1" spans="12:14" ht="12.75">
      <c r="L1" s="2"/>
      <c r="M1" s="2"/>
      <c r="N1" s="2" t="s">
        <v>78</v>
      </c>
    </row>
    <row r="3" spans="2:8" ht="14.25">
      <c r="B3" s="20" t="s">
        <v>172</v>
      </c>
      <c r="C3" s="20"/>
      <c r="D3" s="20"/>
      <c r="E3" s="20"/>
      <c r="F3" s="20"/>
      <c r="G3" s="20"/>
      <c r="H3" s="20"/>
    </row>
    <row r="4" spans="2:14" ht="12.75">
      <c r="B4" s="82" t="s">
        <v>123</v>
      </c>
      <c r="L4" s="2"/>
      <c r="M4" s="2"/>
      <c r="N4" s="2"/>
    </row>
    <row r="5" spans="2:14" ht="12.7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37"/>
      <c r="N5" s="537"/>
    </row>
    <row r="6" ht="13.5" thickBot="1">
      <c r="N6" s="1" t="s">
        <v>1</v>
      </c>
    </row>
    <row r="7" spans="1:16" ht="41.25" customHeight="1" thickBot="1">
      <c r="A7" s="49" t="s">
        <v>2</v>
      </c>
      <c r="B7" s="50" t="s">
        <v>3</v>
      </c>
      <c r="C7" s="85" t="s">
        <v>126</v>
      </c>
      <c r="D7" s="154" t="s">
        <v>127</v>
      </c>
      <c r="E7" s="154" t="s">
        <v>63</v>
      </c>
      <c r="F7" s="154" t="s">
        <v>124</v>
      </c>
      <c r="G7" s="154" t="s">
        <v>125</v>
      </c>
      <c r="H7" s="154" t="s">
        <v>142</v>
      </c>
      <c r="I7" s="137" t="s">
        <v>143</v>
      </c>
      <c r="J7" s="137" t="s">
        <v>149</v>
      </c>
      <c r="K7" s="137" t="s">
        <v>165</v>
      </c>
      <c r="L7" s="51">
        <v>2019</v>
      </c>
      <c r="M7" s="51">
        <v>2020</v>
      </c>
      <c r="N7" s="85" t="s">
        <v>144</v>
      </c>
      <c r="O7" s="68" t="s">
        <v>166</v>
      </c>
      <c r="P7" s="132" t="s">
        <v>167</v>
      </c>
    </row>
    <row r="8" spans="1:16" ht="12.75">
      <c r="A8" s="4">
        <v>301</v>
      </c>
      <c r="B8" s="5" t="s">
        <v>4</v>
      </c>
      <c r="C8" s="90">
        <v>329638831</v>
      </c>
      <c r="D8" s="90">
        <v>359176253</v>
      </c>
      <c r="E8" s="90">
        <v>340525339.19</v>
      </c>
      <c r="F8" s="90">
        <v>350998206.83999997</v>
      </c>
      <c r="G8" s="90">
        <v>371062516</v>
      </c>
      <c r="H8" s="90">
        <v>388769709.41000003</v>
      </c>
      <c r="I8" s="48">
        <v>437782562</v>
      </c>
      <c r="J8" s="48">
        <v>439485269.10000002</v>
      </c>
      <c r="K8" s="48">
        <v>511820045.24000001</v>
      </c>
      <c r="L8" s="48">
        <v>405364725</v>
      </c>
      <c r="M8" s="48">
        <v>404730280</v>
      </c>
      <c r="N8" s="425">
        <f>IF(L8=0," ",IF(L8&gt;0,ROUND(M8/L8*100,1)))</f>
        <v>99.80</v>
      </c>
      <c r="O8" s="142">
        <f>M8-L8</f>
        <v>-634445</v>
      </c>
      <c r="P8" s="19">
        <f>M8-K8</f>
        <v>-107089765.24000001</v>
      </c>
    </row>
    <row r="9" spans="1:16" ht="12.75">
      <c r="A9" s="7">
        <v>302</v>
      </c>
      <c r="B9" s="8" t="s">
        <v>5</v>
      </c>
      <c r="C9" s="90">
        <v>1083270327</v>
      </c>
      <c r="D9" s="90">
        <v>1079288974</v>
      </c>
      <c r="E9" s="90">
        <v>1025420284.51</v>
      </c>
      <c r="F9" s="90">
        <v>1122215932.51</v>
      </c>
      <c r="G9" s="90">
        <v>1135522581.4300001</v>
      </c>
      <c r="H9" s="90">
        <v>1165430303.6199999</v>
      </c>
      <c r="I9" s="48">
        <v>1238934864</v>
      </c>
      <c r="J9" s="48">
        <v>1214983290.5</v>
      </c>
      <c r="K9" s="48">
        <v>1309316580.4300001</v>
      </c>
      <c r="L9" s="48">
        <v>1332355420</v>
      </c>
      <c r="M9" s="48">
        <v>1358947423</v>
      </c>
      <c r="N9" s="425">
        <f t="shared" si="0" ref="N9:N57">IF(L9=0," ",IF(L9&gt;0,ROUND(M9/L9*100,1)))</f>
        <v>102</v>
      </c>
      <c r="O9" s="142">
        <f t="shared" si="1" ref="O9:O54">M9-L9</f>
        <v>26592003</v>
      </c>
      <c r="P9" s="19">
        <f t="shared" si="2" ref="P9:P54">M9-K9</f>
        <v>49630842.569999933</v>
      </c>
    </row>
    <row r="10" spans="1:16" ht="12.75">
      <c r="A10" s="7">
        <v>303</v>
      </c>
      <c r="B10" s="8" t="s">
        <v>6</v>
      </c>
      <c r="C10" s="90">
        <v>500200071</v>
      </c>
      <c r="D10" s="90">
        <v>489457508</v>
      </c>
      <c r="E10" s="90">
        <v>489441314.75999999</v>
      </c>
      <c r="F10" s="90">
        <v>470786397.95999998</v>
      </c>
      <c r="G10" s="90">
        <v>490468571.10000002</v>
      </c>
      <c r="H10" s="90">
        <v>522198946.25</v>
      </c>
      <c r="I10" s="48">
        <v>556147461</v>
      </c>
      <c r="J10" s="48">
        <v>532293121.04000002</v>
      </c>
      <c r="K10" s="48">
        <v>548649566.39999998</v>
      </c>
      <c r="L10" s="48">
        <v>605343544</v>
      </c>
      <c r="M10" s="48">
        <v>628663638</v>
      </c>
      <c r="N10" s="425">
        <f t="shared" si="0"/>
        <v>103.90</v>
      </c>
      <c r="O10" s="142">
        <f t="shared" si="1"/>
        <v>23320094</v>
      </c>
      <c r="P10" s="19">
        <f t="shared" si="2"/>
        <v>80014071.600000024</v>
      </c>
    </row>
    <row r="11" spans="1:16" ht="12.75">
      <c r="A11" s="7">
        <v>304</v>
      </c>
      <c r="B11" s="8" t="s">
        <v>7</v>
      </c>
      <c r="C11" s="90">
        <v>679422644</v>
      </c>
      <c r="D11" s="90">
        <v>688348273</v>
      </c>
      <c r="E11" s="90">
        <v>678277519.71000004</v>
      </c>
      <c r="F11" s="90">
        <v>710765757.19000006</v>
      </c>
      <c r="G11" s="90">
        <v>1622035349.49</v>
      </c>
      <c r="H11" s="90">
        <v>873382820</v>
      </c>
      <c r="I11" s="48">
        <v>1241661151</v>
      </c>
      <c r="J11" s="48">
        <v>971083823.85000002</v>
      </c>
      <c r="K11" s="48">
        <v>1096477387.5</v>
      </c>
      <c r="L11" s="48">
        <v>1088156515</v>
      </c>
      <c r="M11" s="48">
        <v>1064877957</v>
      </c>
      <c r="N11" s="425">
        <f t="shared" si="0"/>
        <v>97.90</v>
      </c>
      <c r="O11" s="142">
        <f t="shared" si="1"/>
        <v>-23278558</v>
      </c>
      <c r="P11" s="19">
        <f t="shared" si="2"/>
        <v>-31599430.5</v>
      </c>
    </row>
    <row r="12" spans="1:16" ht="12.75">
      <c r="A12" s="7">
        <v>305</v>
      </c>
      <c r="B12" s="8" t="s">
        <v>8</v>
      </c>
      <c r="C12" s="90">
        <v>1123104453</v>
      </c>
      <c r="D12" s="90">
        <v>1085946502</v>
      </c>
      <c r="E12" s="90">
        <v>1162156580.26</v>
      </c>
      <c r="F12" s="90">
        <v>1174065656.54</v>
      </c>
      <c r="G12" s="90">
        <v>1207680789.51</v>
      </c>
      <c r="H12" s="90">
        <v>1426427407.28</v>
      </c>
      <c r="I12" s="48">
        <v>1652946000</v>
      </c>
      <c r="J12" s="48">
        <v>1370904518</v>
      </c>
      <c r="K12" s="48">
        <v>1649972943.9200001</v>
      </c>
      <c r="L12" s="48">
        <v>2076974408</v>
      </c>
      <c r="M12" s="48">
        <v>2100974408</v>
      </c>
      <c r="N12" s="425">
        <f t="shared" si="0"/>
        <v>101.20</v>
      </c>
      <c r="O12" s="142">
        <f t="shared" si="1"/>
        <v>24000000</v>
      </c>
      <c r="P12" s="19">
        <f t="shared" si="2"/>
        <v>451001464.07999992</v>
      </c>
    </row>
    <row r="13" spans="1:16" ht="12.75">
      <c r="A13" s="7">
        <v>306</v>
      </c>
      <c r="B13" s="8" t="s">
        <v>9</v>
      </c>
      <c r="C13" s="90">
        <v>5872076786</v>
      </c>
      <c r="D13" s="90">
        <v>5756941922</v>
      </c>
      <c r="E13" s="90">
        <v>6156401484.1800003</v>
      </c>
      <c r="F13" s="90">
        <v>6030230725.9700003</v>
      </c>
      <c r="G13" s="90">
        <v>6510421100.5100002</v>
      </c>
      <c r="H13" s="90">
        <v>7074046144.4300003</v>
      </c>
      <c r="I13" s="48">
        <v>7645216705</v>
      </c>
      <c r="J13" s="48">
        <v>7415564760.0200005</v>
      </c>
      <c r="K13" s="48">
        <v>7808398874.5600004</v>
      </c>
      <c r="L13" s="48">
        <v>8127005597</v>
      </c>
      <c r="M13" s="48">
        <v>7889597480</v>
      </c>
      <c r="N13" s="425">
        <f t="shared" si="0"/>
        <v>97.10</v>
      </c>
      <c r="O13" s="142">
        <f t="shared" si="1"/>
        <v>-237408117</v>
      </c>
      <c r="P13" s="19">
        <f t="shared" si="2"/>
        <v>81198605.43999958</v>
      </c>
    </row>
    <row r="14" spans="1:16" ht="12.75">
      <c r="A14" s="7">
        <v>307</v>
      </c>
      <c r="B14" s="8" t="s">
        <v>10</v>
      </c>
      <c r="C14" s="90">
        <v>45708219416</v>
      </c>
      <c r="D14" s="90">
        <v>42935481567</v>
      </c>
      <c r="E14" s="90">
        <v>41463893597.779999</v>
      </c>
      <c r="F14" s="90">
        <v>41069410236.37001</v>
      </c>
      <c r="G14" s="90">
        <v>47342010527.360001</v>
      </c>
      <c r="H14" s="90">
        <v>45670816695.089996</v>
      </c>
      <c r="I14" s="48">
        <v>52535043598</v>
      </c>
      <c r="J14" s="48">
        <v>52908766765.459999</v>
      </c>
      <c r="K14" s="48">
        <v>59799438274.449997</v>
      </c>
      <c r="L14" s="48">
        <v>66734800521</v>
      </c>
      <c r="M14" s="48">
        <v>74478868425</v>
      </c>
      <c r="N14" s="425">
        <f t="shared" si="0"/>
        <v>111.60</v>
      </c>
      <c r="O14" s="142">
        <f t="shared" si="1"/>
        <v>7744067904</v>
      </c>
      <c r="P14" s="19">
        <f t="shared" si="2"/>
        <v>14679430150.550003</v>
      </c>
    </row>
    <row r="15" spans="1:16" ht="12.75">
      <c r="A15" s="7">
        <v>308</v>
      </c>
      <c r="B15" s="8" t="s">
        <v>11</v>
      </c>
      <c r="C15" s="60">
        <v>245046833</v>
      </c>
      <c r="D15" s="90">
        <v>245052936</v>
      </c>
      <c r="E15" s="60">
        <v>295754732.20999998</v>
      </c>
      <c r="F15" s="90">
        <v>336908626.75</v>
      </c>
      <c r="G15" s="60">
        <v>310410618.25999999</v>
      </c>
      <c r="H15" s="60">
        <v>371137401.38999999</v>
      </c>
      <c r="I15" s="48">
        <v>490134115</v>
      </c>
      <c r="J15" s="48">
        <v>345704862.56999999</v>
      </c>
      <c r="K15" s="48">
        <v>277098751.27999997</v>
      </c>
      <c r="L15" s="48">
        <v>301507594</v>
      </c>
      <c r="M15" s="48">
        <v>278022040</v>
      </c>
      <c r="N15" s="425">
        <f t="shared" si="0"/>
        <v>92.20</v>
      </c>
      <c r="O15" s="142">
        <f t="shared" si="1"/>
        <v>-23485554</v>
      </c>
      <c r="P15" s="19">
        <f t="shared" si="2"/>
        <v>923288.72000002861</v>
      </c>
    </row>
    <row r="16" spans="1:16" ht="12.75">
      <c r="A16" s="7">
        <v>309</v>
      </c>
      <c r="B16" s="8" t="s">
        <v>12</v>
      </c>
      <c r="C16" s="60">
        <v>79292019</v>
      </c>
      <c r="D16" s="60">
        <v>85405016</v>
      </c>
      <c r="E16" s="60">
        <v>89511334.629999995</v>
      </c>
      <c r="F16" s="60">
        <v>101543822.33</v>
      </c>
      <c r="G16" s="60">
        <v>111559090.34999999</v>
      </c>
      <c r="H16" s="60">
        <v>112016880.98999999</v>
      </c>
      <c r="I16" s="48">
        <v>110894979</v>
      </c>
      <c r="J16" s="48">
        <v>123677915.59</v>
      </c>
      <c r="K16" s="48">
        <v>187240474.96000001</v>
      </c>
      <c r="L16" s="48">
        <v>158931689</v>
      </c>
      <c r="M16" s="48">
        <v>148474064</v>
      </c>
      <c r="N16" s="425">
        <f t="shared" si="0"/>
        <v>93.40</v>
      </c>
      <c r="O16" s="142">
        <f t="shared" si="1"/>
        <v>-10457625</v>
      </c>
      <c r="P16" s="19">
        <f t="shared" si="2"/>
        <v>-38766410.960000008</v>
      </c>
    </row>
    <row r="17" spans="1:16" ht="12.75">
      <c r="A17" s="7">
        <v>312</v>
      </c>
      <c r="B17" s="8" t="s">
        <v>13</v>
      </c>
      <c r="C17" s="60">
        <v>16495473345</v>
      </c>
      <c r="D17" s="60">
        <v>18577274103</v>
      </c>
      <c r="E17" s="60">
        <v>18902560982.200001</v>
      </c>
      <c r="F17" s="60">
        <v>16543714546.200001</v>
      </c>
      <c r="G17" s="60">
        <v>17265659812.790001</v>
      </c>
      <c r="H17" s="60">
        <v>20045072251.040001</v>
      </c>
      <c r="I17" s="48">
        <v>21168126849</v>
      </c>
      <c r="J17" s="48">
        <v>21276934443.77</v>
      </c>
      <c r="K17" s="48">
        <v>22199362973.23</v>
      </c>
      <c r="L17" s="48">
        <v>23617964238</v>
      </c>
      <c r="M17" s="48">
        <v>23242369000</v>
      </c>
      <c r="N17" s="425">
        <f t="shared" si="0"/>
        <v>98.40</v>
      </c>
      <c r="O17" s="142">
        <f t="shared" si="1"/>
        <v>-375595238</v>
      </c>
      <c r="P17" s="19">
        <f t="shared" si="2"/>
        <v>1043006026.7700005</v>
      </c>
    </row>
    <row r="18" spans="1:16" ht="12.75">
      <c r="A18" s="7">
        <v>313</v>
      </c>
      <c r="B18" s="8" t="s">
        <v>14</v>
      </c>
      <c r="C18" s="60">
        <v>484572393095</v>
      </c>
      <c r="D18" s="60">
        <v>496758176722</v>
      </c>
      <c r="E18" s="60">
        <v>509121392183.90997</v>
      </c>
      <c r="F18" s="60">
        <v>519682710665.98999</v>
      </c>
      <c r="G18" s="60">
        <v>533422050436.84003</v>
      </c>
      <c r="H18" s="60">
        <v>539165150368.35022</v>
      </c>
      <c r="I18" s="48">
        <v>560466378756</v>
      </c>
      <c r="J18" s="48">
        <v>559585967224.96997</v>
      </c>
      <c r="K18" s="48">
        <v>592402047069.10999</v>
      </c>
      <c r="L18" s="48">
        <v>637190990417</v>
      </c>
      <c r="M18" s="48">
        <v>682324801547</v>
      </c>
      <c r="N18" s="425">
        <f t="shared" si="0"/>
        <v>107.10</v>
      </c>
      <c r="O18" s="142">
        <f t="shared" si="1"/>
        <v>45133811130</v>
      </c>
      <c r="P18" s="19">
        <f t="shared" si="2"/>
        <v>89922754477.890015</v>
      </c>
    </row>
    <row r="19" spans="1:16" ht="12.75">
      <c r="A19" s="7">
        <v>314</v>
      </c>
      <c r="B19" s="8" t="s">
        <v>15</v>
      </c>
      <c r="C19" s="60">
        <v>53783097766</v>
      </c>
      <c r="D19" s="60">
        <v>53509978931</v>
      </c>
      <c r="E19" s="60">
        <v>54619752312.849998</v>
      </c>
      <c r="F19" s="60">
        <v>55793233274.169998</v>
      </c>
      <c r="G19" s="60">
        <v>62887497165.779999</v>
      </c>
      <c r="H19" s="60">
        <v>60624634856.629982</v>
      </c>
      <c r="I19" s="48">
        <v>63347441625</v>
      </c>
      <c r="J19" s="48">
        <v>66358941442.349998</v>
      </c>
      <c r="K19" s="48">
        <v>74346222806.160004</v>
      </c>
      <c r="L19" s="48">
        <v>77605048113</v>
      </c>
      <c r="M19" s="48">
        <v>77925324165</v>
      </c>
      <c r="N19" s="425">
        <f t="shared" si="0"/>
        <v>100.40</v>
      </c>
      <c r="O19" s="142">
        <f t="shared" si="1"/>
        <v>320276052</v>
      </c>
      <c r="P19" s="19">
        <f t="shared" si="2"/>
        <v>3579101358.8399963</v>
      </c>
    </row>
    <row r="20" spans="1:16" ht="12.75">
      <c r="A20" s="7">
        <v>315</v>
      </c>
      <c r="B20" s="8" t="s">
        <v>16</v>
      </c>
      <c r="C20" s="60">
        <v>16336218646</v>
      </c>
      <c r="D20" s="60">
        <v>16574441241</v>
      </c>
      <c r="E20" s="60">
        <v>18284740656.84</v>
      </c>
      <c r="F20" s="60">
        <v>34830085654.260002</v>
      </c>
      <c r="G20" s="60">
        <v>39038701119.87001</v>
      </c>
      <c r="H20" s="60">
        <v>8974269121.5100002</v>
      </c>
      <c r="I20" s="48">
        <v>16902085298</v>
      </c>
      <c r="J20" s="48">
        <v>12268253808.02</v>
      </c>
      <c r="K20" s="48">
        <v>14635568561.059999</v>
      </c>
      <c r="L20" s="48">
        <v>14073770032</v>
      </c>
      <c r="M20" s="48">
        <v>15738484303</v>
      </c>
      <c r="N20" s="425">
        <f t="shared" si="0"/>
        <v>111.80</v>
      </c>
      <c r="O20" s="142">
        <f t="shared" si="1"/>
        <v>1664714271</v>
      </c>
      <c r="P20" s="19">
        <f t="shared" si="2"/>
        <v>1102915741.9400005</v>
      </c>
    </row>
    <row r="21" spans="1:16" ht="12.75">
      <c r="A21" s="7">
        <v>317</v>
      </c>
      <c r="B21" s="8" t="s">
        <v>17</v>
      </c>
      <c r="C21" s="60">
        <v>22212779025</v>
      </c>
      <c r="D21" s="60">
        <v>20240336075</v>
      </c>
      <c r="E21" s="60">
        <v>21467620619.630001</v>
      </c>
      <c r="F21" s="60">
        <v>20216267627.029999</v>
      </c>
      <c r="G21" s="60">
        <v>28615288911.310001</v>
      </c>
      <c r="H21" s="60">
        <v>16782229299.219999</v>
      </c>
      <c r="I21" s="48">
        <v>15984813699</v>
      </c>
      <c r="J21" s="48">
        <v>7439773838.6400003</v>
      </c>
      <c r="K21" s="48">
        <v>22108471397.970001</v>
      </c>
      <c r="L21" s="48">
        <v>11501908279</v>
      </c>
      <c r="M21" s="48">
        <v>25414840282</v>
      </c>
      <c r="N21" s="425">
        <f t="shared" si="0"/>
        <v>221</v>
      </c>
      <c r="O21" s="142">
        <f t="shared" si="1"/>
        <v>13912932003</v>
      </c>
      <c r="P21" s="19">
        <f t="shared" si="2"/>
        <v>3306368884.0299988</v>
      </c>
    </row>
    <row r="22" spans="1:16" ht="12.75">
      <c r="A22" s="7">
        <v>321</v>
      </c>
      <c r="B22" s="8" t="s">
        <v>18</v>
      </c>
      <c r="C22" s="60">
        <v>2428182882</v>
      </c>
      <c r="D22" s="60">
        <v>2960552435</v>
      </c>
      <c r="E22" s="60">
        <v>3231735069.1999998</v>
      </c>
      <c r="F22" s="60">
        <v>3425016820.1399999</v>
      </c>
      <c r="G22" s="60">
        <v>3642304285.4899998</v>
      </c>
      <c r="H22" s="60">
        <v>3927443927.96</v>
      </c>
      <c r="I22" s="48">
        <v>4257427000</v>
      </c>
      <c r="J22" s="48">
        <v>4107793016.3400002</v>
      </c>
      <c r="K22" s="48">
        <v>4048479235.7199998</v>
      </c>
      <c r="L22" s="48">
        <v>4390784794</v>
      </c>
      <c r="M22" s="48">
        <v>4360546000</v>
      </c>
      <c r="N22" s="425">
        <f t="shared" si="0"/>
        <v>99.30</v>
      </c>
      <c r="O22" s="142">
        <f t="shared" si="1"/>
        <v>-30238794</v>
      </c>
      <c r="P22" s="19">
        <f t="shared" si="2"/>
        <v>312066764.28000021</v>
      </c>
    </row>
    <row r="23" spans="1:16" ht="12.75">
      <c r="A23" s="7">
        <v>322</v>
      </c>
      <c r="B23" s="8" t="s">
        <v>19</v>
      </c>
      <c r="C23" s="60">
        <v>27987740698</v>
      </c>
      <c r="D23" s="60">
        <v>34575111654</v>
      </c>
      <c r="E23" s="60">
        <v>32778047682.220001</v>
      </c>
      <c r="F23" s="60">
        <v>37352427450.43</v>
      </c>
      <c r="G23" s="60">
        <v>47103897859.339996</v>
      </c>
      <c r="H23" s="60">
        <v>27735040663.390011</v>
      </c>
      <c r="I23" s="48">
        <v>38348684259</v>
      </c>
      <c r="J23" s="48">
        <v>40668626010.169998</v>
      </c>
      <c r="K23" s="48">
        <v>45387949250.629997</v>
      </c>
      <c r="L23" s="48">
        <v>39596672278</v>
      </c>
      <c r="M23" s="48">
        <v>49116654328</v>
      </c>
      <c r="N23" s="425">
        <f t="shared" si="0"/>
        <v>124</v>
      </c>
      <c r="O23" s="142">
        <f t="shared" si="1"/>
        <v>9519982050</v>
      </c>
      <c r="P23" s="19">
        <f t="shared" si="2"/>
        <v>3728705077.3700027</v>
      </c>
    </row>
    <row r="24" spans="1:16" ht="12.75">
      <c r="A24" s="7">
        <v>327</v>
      </c>
      <c r="B24" s="8" t="s">
        <v>20</v>
      </c>
      <c r="C24" s="60">
        <v>47338514271</v>
      </c>
      <c r="D24" s="60">
        <v>39220251474</v>
      </c>
      <c r="E24" s="60">
        <v>34668979514.540001</v>
      </c>
      <c r="F24" s="60">
        <v>41506848827.860001</v>
      </c>
      <c r="G24" s="60">
        <v>73683361805.720001</v>
      </c>
      <c r="H24" s="60">
        <v>54408771423.900002</v>
      </c>
      <c r="I24" s="48">
        <v>55090121517</v>
      </c>
      <c r="J24" s="48">
        <v>56442910329.389999</v>
      </c>
      <c r="K24" s="48">
        <v>51935675108.790001</v>
      </c>
      <c r="L24" s="48">
        <v>72555424741</v>
      </c>
      <c r="M24" s="48">
        <v>60261969603</v>
      </c>
      <c r="N24" s="425">
        <f t="shared" si="0"/>
        <v>83.10</v>
      </c>
      <c r="O24" s="142">
        <f t="shared" si="1"/>
        <v>-12293455138</v>
      </c>
      <c r="P24" s="19">
        <f t="shared" si="2"/>
        <v>8326294494.2099991</v>
      </c>
    </row>
    <row r="25" spans="1:16" ht="12.75">
      <c r="A25" s="7">
        <v>328</v>
      </c>
      <c r="B25" s="8" t="s">
        <v>21</v>
      </c>
      <c r="C25" s="60">
        <v>587253196</v>
      </c>
      <c r="D25" s="60">
        <v>570457311</v>
      </c>
      <c r="E25" s="60">
        <v>587797132.32000005</v>
      </c>
      <c r="F25" s="60">
        <v>622939475.13</v>
      </c>
      <c r="G25" s="60">
        <v>685717268.20000005</v>
      </c>
      <c r="H25" s="60">
        <v>709322003.51999998</v>
      </c>
      <c r="I25" s="48">
        <v>1406383380</v>
      </c>
      <c r="J25" s="48">
        <v>643823529.23000002</v>
      </c>
      <c r="K25" s="48">
        <v>2488500877.6900001</v>
      </c>
      <c r="L25" s="6">
        <v>1468076432</v>
      </c>
      <c r="M25" s="48">
        <v>1496454731</v>
      </c>
      <c r="N25" s="425">
        <f t="shared" si="0"/>
        <v>101.90</v>
      </c>
      <c r="O25" s="142">
        <f t="shared" si="1"/>
        <v>28378299</v>
      </c>
      <c r="P25" s="19">
        <f t="shared" si="2"/>
        <v>-992046146.69000006</v>
      </c>
    </row>
    <row r="26" spans="1:16" ht="12.75">
      <c r="A26" s="7">
        <v>329</v>
      </c>
      <c r="B26" s="8" t="s">
        <v>22</v>
      </c>
      <c r="C26" s="60">
        <v>47848320498</v>
      </c>
      <c r="D26" s="60">
        <v>51068863892</v>
      </c>
      <c r="E26" s="60">
        <v>52347719139.650002</v>
      </c>
      <c r="F26" s="60">
        <v>48611539412.379997</v>
      </c>
      <c r="G26" s="60">
        <v>48286414815.459999</v>
      </c>
      <c r="H26" s="60">
        <v>54989362118.440002</v>
      </c>
      <c r="I26" s="48">
        <v>51964634569</v>
      </c>
      <c r="J26" s="48">
        <v>53219686784.970001</v>
      </c>
      <c r="K26" s="48">
        <v>57402483246.349998</v>
      </c>
      <c r="L26" s="6">
        <v>57415756297</v>
      </c>
      <c r="M26" s="6">
        <v>54957256311</v>
      </c>
      <c r="N26" s="425">
        <f t="shared" si="0"/>
        <v>95.70</v>
      </c>
      <c r="O26" s="142">
        <f t="shared" si="1"/>
        <v>-2458499986</v>
      </c>
      <c r="P26" s="19">
        <f t="shared" si="2"/>
        <v>-2445226935.3499985</v>
      </c>
    </row>
    <row r="27" spans="1:16" ht="12.75">
      <c r="A27" s="7">
        <v>333</v>
      </c>
      <c r="B27" s="8" t="s">
        <v>23</v>
      </c>
      <c r="C27" s="60">
        <v>138959133137</v>
      </c>
      <c r="D27" s="60">
        <v>138184480679</v>
      </c>
      <c r="E27" s="60">
        <v>138442836423.84</v>
      </c>
      <c r="F27" s="60">
        <v>140046248033.88</v>
      </c>
      <c r="G27" s="60">
        <v>143667574714.56</v>
      </c>
      <c r="H27" s="60">
        <v>140564292882.03003</v>
      </c>
      <c r="I27" s="48">
        <v>156525862168</v>
      </c>
      <c r="J27" s="48">
        <v>157511440024.12</v>
      </c>
      <c r="K27" s="48">
        <v>187415570876.81</v>
      </c>
      <c r="L27" s="6">
        <v>205759166364</v>
      </c>
      <c r="M27" s="6">
        <v>223897688303</v>
      </c>
      <c r="N27" s="425">
        <f t="shared" si="0"/>
        <v>108.80</v>
      </c>
      <c r="O27" s="142">
        <f t="shared" si="1"/>
        <v>18138521939</v>
      </c>
      <c r="P27" s="19">
        <f t="shared" si="2"/>
        <v>36482117426.190002</v>
      </c>
    </row>
    <row r="28" spans="1:16" ht="12.75">
      <c r="A28" s="7">
        <v>334</v>
      </c>
      <c r="B28" s="8" t="s">
        <v>24</v>
      </c>
      <c r="C28" s="60">
        <v>7863232484</v>
      </c>
      <c r="D28" s="60">
        <v>8499459287</v>
      </c>
      <c r="E28" s="60">
        <v>10481670410.120001</v>
      </c>
      <c r="F28" s="60">
        <v>10930248511.18</v>
      </c>
      <c r="G28" s="60">
        <v>11522492561.24</v>
      </c>
      <c r="H28" s="60">
        <v>11770619522.450001</v>
      </c>
      <c r="I28" s="48">
        <v>12725868455</v>
      </c>
      <c r="J28" s="48">
        <v>12106184102.84</v>
      </c>
      <c r="K28" s="48">
        <v>14060450465.530001</v>
      </c>
      <c r="L28" s="6">
        <v>14783403358</v>
      </c>
      <c r="M28" s="6">
        <v>14359554829</v>
      </c>
      <c r="N28" s="425">
        <f t="shared" si="0"/>
        <v>97.10</v>
      </c>
      <c r="O28" s="142">
        <f t="shared" si="1"/>
        <v>-423848529</v>
      </c>
      <c r="P28" s="19">
        <f t="shared" si="2"/>
        <v>299104363.46999931</v>
      </c>
    </row>
    <row r="29" spans="1:16" ht="12.75">
      <c r="A29" s="7">
        <v>335</v>
      </c>
      <c r="B29" s="8" t="s">
        <v>25</v>
      </c>
      <c r="C29" s="60">
        <v>7848017598</v>
      </c>
      <c r="D29" s="60">
        <v>5991561256</v>
      </c>
      <c r="E29" s="60">
        <v>7368732590.9499998</v>
      </c>
      <c r="F29" s="60">
        <v>7185329248.0100002</v>
      </c>
      <c r="G29" s="60">
        <v>8528918468.3800001</v>
      </c>
      <c r="H29" s="60">
        <v>8162261357.6400003</v>
      </c>
      <c r="I29" s="48">
        <v>7286341404</v>
      </c>
      <c r="J29" s="48">
        <v>7980709618.3500004</v>
      </c>
      <c r="K29" s="48">
        <v>8888187179.2399998</v>
      </c>
      <c r="L29" s="6">
        <v>8203095540</v>
      </c>
      <c r="M29" s="6">
        <v>9193639913</v>
      </c>
      <c r="N29" s="425">
        <f t="shared" si="0"/>
        <v>112.10</v>
      </c>
      <c r="O29" s="142">
        <f t="shared" si="1"/>
        <v>990544373</v>
      </c>
      <c r="P29" s="19">
        <f t="shared" si="2"/>
        <v>305452733.76000023</v>
      </c>
    </row>
    <row r="30" spans="1:16" ht="12.75">
      <c r="A30" s="7">
        <v>336</v>
      </c>
      <c r="B30" s="8" t="s">
        <v>26</v>
      </c>
      <c r="C30" s="60">
        <v>20311752723</v>
      </c>
      <c r="D30" s="60">
        <v>20645438154</v>
      </c>
      <c r="E30" s="60">
        <v>21283383901.860001</v>
      </c>
      <c r="F30" s="60">
        <v>21707445564.32</v>
      </c>
      <c r="G30" s="60">
        <v>24434802976.349998</v>
      </c>
      <c r="H30" s="60">
        <v>24492447953.200001</v>
      </c>
      <c r="I30" s="48">
        <v>26103509039</v>
      </c>
      <c r="J30" s="48">
        <v>26185128671.75</v>
      </c>
      <c r="K30" s="48">
        <v>28268417528.799999</v>
      </c>
      <c r="L30" s="6">
        <v>30489782592</v>
      </c>
      <c r="M30" s="6">
        <v>31001025390</v>
      </c>
      <c r="N30" s="425">
        <f t="shared" si="0"/>
        <v>101.70</v>
      </c>
      <c r="O30" s="142">
        <f t="shared" si="1"/>
        <v>511242798</v>
      </c>
      <c r="P30" s="19">
        <f t="shared" si="2"/>
        <v>2732607861.2000008</v>
      </c>
    </row>
    <row r="31" spans="1:16" ht="12.75">
      <c r="A31" s="7">
        <v>343</v>
      </c>
      <c r="B31" s="8" t="s">
        <v>27</v>
      </c>
      <c r="C31" s="60">
        <v>166689660</v>
      </c>
      <c r="D31" s="60">
        <v>203555707</v>
      </c>
      <c r="E31" s="60">
        <v>128731469.65000001</v>
      </c>
      <c r="F31" s="60">
        <v>124767143.47</v>
      </c>
      <c r="G31" s="60">
        <v>143799404.58000001</v>
      </c>
      <c r="H31" s="60">
        <v>144376480.27000001</v>
      </c>
      <c r="I31" s="48">
        <v>159684951</v>
      </c>
      <c r="J31" s="48">
        <v>153794880.28999999</v>
      </c>
      <c r="K31" s="48">
        <v>158534197.59</v>
      </c>
      <c r="L31" s="6">
        <v>167195335</v>
      </c>
      <c r="M31" s="6">
        <v>166081928</v>
      </c>
      <c r="N31" s="425">
        <f t="shared" si="0"/>
        <v>99.30</v>
      </c>
      <c r="O31" s="142">
        <f t="shared" si="1"/>
        <v>-1113407</v>
      </c>
      <c r="P31" s="19">
        <f t="shared" si="2"/>
        <v>7547730.4099999964</v>
      </c>
    </row>
    <row r="32" spans="1:16" ht="12.75">
      <c r="A32" s="7">
        <v>344</v>
      </c>
      <c r="B32" s="8" t="s">
        <v>28</v>
      </c>
      <c r="C32" s="60">
        <v>167529248</v>
      </c>
      <c r="D32" s="60">
        <v>167544856</v>
      </c>
      <c r="E32" s="60">
        <v>158802949.52000001</v>
      </c>
      <c r="F32" s="60">
        <v>164328233.31999999</v>
      </c>
      <c r="G32" s="60">
        <v>167002505.19999999</v>
      </c>
      <c r="H32" s="60">
        <v>168944708.86000001</v>
      </c>
      <c r="I32" s="48">
        <v>184509979</v>
      </c>
      <c r="J32" s="48">
        <v>196870357.68000001</v>
      </c>
      <c r="K32" s="48">
        <v>194222919.36000001</v>
      </c>
      <c r="L32" s="6">
        <v>196462520</v>
      </c>
      <c r="M32" s="6">
        <v>205635479</v>
      </c>
      <c r="N32" s="425">
        <f t="shared" si="0"/>
        <v>104.70</v>
      </c>
      <c r="O32" s="142">
        <f t="shared" si="1"/>
        <v>9172959</v>
      </c>
      <c r="P32" s="19">
        <f t="shared" si="2"/>
        <v>11412559.639999986</v>
      </c>
    </row>
    <row r="33" spans="1:16" ht="12.75">
      <c r="A33" s="7">
        <v>345</v>
      </c>
      <c r="B33" s="8" t="s">
        <v>29</v>
      </c>
      <c r="C33" s="60">
        <v>2580122517</v>
      </c>
      <c r="D33" s="60">
        <v>1205632544</v>
      </c>
      <c r="E33" s="60">
        <v>1050878476.25</v>
      </c>
      <c r="F33" s="60">
        <v>1156710296.5699999</v>
      </c>
      <c r="G33" s="60">
        <v>914308862.38</v>
      </c>
      <c r="H33" s="60">
        <v>947924300.21000004</v>
      </c>
      <c r="I33" s="48">
        <v>971816504</v>
      </c>
      <c r="J33" s="48">
        <v>1077545524.3900001</v>
      </c>
      <c r="K33" s="48">
        <v>1166842705.9400001</v>
      </c>
      <c r="L33" s="6">
        <v>1304798306</v>
      </c>
      <c r="M33" s="6">
        <v>1058828384</v>
      </c>
      <c r="N33" s="425">
        <f t="shared" si="0"/>
        <v>81.099999999999994</v>
      </c>
      <c r="O33" s="142">
        <f t="shared" si="1"/>
        <v>-245969922</v>
      </c>
      <c r="P33" s="19">
        <f t="shared" si="2"/>
        <v>-108014321.94000006</v>
      </c>
    </row>
    <row r="34" spans="1:16" ht="12.75">
      <c r="A34" s="7">
        <v>346</v>
      </c>
      <c r="B34" s="8" t="s">
        <v>30</v>
      </c>
      <c r="C34" s="60">
        <v>2785289898</v>
      </c>
      <c r="D34" s="60">
        <v>2753079145</v>
      </c>
      <c r="E34" s="60">
        <v>2787361581.1199999</v>
      </c>
      <c r="F34" s="60">
        <v>2826372821.1799998</v>
      </c>
      <c r="G34" s="60">
        <v>2882335586.5300002</v>
      </c>
      <c r="H34" s="60">
        <v>2981920411.8200002</v>
      </c>
      <c r="I34" s="48">
        <v>3048778094</v>
      </c>
      <c r="J34" s="48">
        <v>3108287922.3699999</v>
      </c>
      <c r="K34" s="48">
        <v>3327113714.0999999</v>
      </c>
      <c r="L34" s="6">
        <v>3524639347</v>
      </c>
      <c r="M34" s="6">
        <v>3469848667</v>
      </c>
      <c r="N34" s="425">
        <f t="shared" si="0"/>
        <v>98.40</v>
      </c>
      <c r="O34" s="142">
        <f t="shared" si="1"/>
        <v>-54790680</v>
      </c>
      <c r="P34" s="19">
        <f t="shared" si="2"/>
        <v>142734952.9000001</v>
      </c>
    </row>
    <row r="35" spans="1:16" ht="12.75">
      <c r="A35" s="7">
        <v>348</v>
      </c>
      <c r="B35" s="8" t="s">
        <v>31</v>
      </c>
      <c r="C35" s="60">
        <v>131103262</v>
      </c>
      <c r="D35" s="60">
        <v>126142636</v>
      </c>
      <c r="E35" s="60">
        <v>124279458.03</v>
      </c>
      <c r="F35" s="60">
        <v>125645550.15000001</v>
      </c>
      <c r="G35" s="60">
        <v>130768903.14</v>
      </c>
      <c r="H35" s="60">
        <v>154347121.03999999</v>
      </c>
      <c r="I35" s="48">
        <v>155208058</v>
      </c>
      <c r="J35" s="48">
        <v>152178041.63</v>
      </c>
      <c r="K35" s="48">
        <v>159732313.28999999</v>
      </c>
      <c r="L35" s="6">
        <v>179247759</v>
      </c>
      <c r="M35" s="6">
        <v>166318551</v>
      </c>
      <c r="N35" s="425">
        <f t="shared" si="0"/>
        <v>92.80</v>
      </c>
      <c r="O35" s="142">
        <f t="shared" si="1"/>
        <v>-12929208</v>
      </c>
      <c r="P35" s="19">
        <f t="shared" si="2"/>
        <v>6586237.7100000083</v>
      </c>
    </row>
    <row r="36" spans="1:16" ht="12.75">
      <c r="A36" s="7">
        <v>349</v>
      </c>
      <c r="B36" s="8" t="s">
        <v>32</v>
      </c>
      <c r="C36" s="60">
        <v>111290593</v>
      </c>
      <c r="D36" s="60">
        <v>168384416</v>
      </c>
      <c r="E36" s="60">
        <v>177124950.44999999</v>
      </c>
      <c r="F36" s="60">
        <v>194074122.81</v>
      </c>
      <c r="G36" s="60">
        <v>217981962.47999999</v>
      </c>
      <c r="H36" s="209">
        <v>226432618.90000001</v>
      </c>
      <c r="I36" s="48">
        <v>285558570</v>
      </c>
      <c r="J36" s="48">
        <v>286379477.62</v>
      </c>
      <c r="K36" s="48">
        <v>294476529.86000001</v>
      </c>
      <c r="L36" s="6">
        <v>295403397</v>
      </c>
      <c r="M36" s="6">
        <v>299259288</v>
      </c>
      <c r="N36" s="425">
        <f t="shared" si="0"/>
        <v>101.30</v>
      </c>
      <c r="O36" s="142">
        <f t="shared" si="1"/>
        <v>3855891</v>
      </c>
      <c r="P36" s="19">
        <f t="shared" si="2"/>
        <v>4782758.1399999857</v>
      </c>
    </row>
    <row r="37" spans="1:16" ht="12.75">
      <c r="A37" s="7">
        <v>353</v>
      </c>
      <c r="B37" s="8" t="s">
        <v>33</v>
      </c>
      <c r="C37" s="60">
        <v>192380897</v>
      </c>
      <c r="D37" s="60">
        <v>241785488</v>
      </c>
      <c r="E37" s="60">
        <v>210745483.09999999</v>
      </c>
      <c r="F37" s="60">
        <v>202267779.84999999</v>
      </c>
      <c r="G37" s="60">
        <v>197158597.47999999</v>
      </c>
      <c r="H37" s="209">
        <v>203474896.02000001</v>
      </c>
      <c r="I37" s="48">
        <v>253766753</v>
      </c>
      <c r="J37" s="48">
        <v>218708564.05000001</v>
      </c>
      <c r="K37" s="48">
        <v>241891557.33000001</v>
      </c>
      <c r="L37" s="6">
        <v>254126162</v>
      </c>
      <c r="M37" s="6">
        <v>255896699</v>
      </c>
      <c r="N37" s="425">
        <f t="shared" si="0"/>
        <v>100.70</v>
      </c>
      <c r="O37" s="142">
        <f t="shared" si="1"/>
        <v>1770537</v>
      </c>
      <c r="P37" s="19">
        <f t="shared" si="2"/>
        <v>14005141.669999987</v>
      </c>
    </row>
    <row r="38" spans="1:16" ht="12.75">
      <c r="A38" s="7">
        <v>355</v>
      </c>
      <c r="B38" s="8" t="s">
        <v>34</v>
      </c>
      <c r="C38" s="60">
        <v>151213335</v>
      </c>
      <c r="D38" s="60">
        <v>152594156</v>
      </c>
      <c r="E38" s="60">
        <v>145937047.56</v>
      </c>
      <c r="F38" s="60">
        <v>151474002.31999999</v>
      </c>
      <c r="G38" s="60">
        <v>159492769.00999999</v>
      </c>
      <c r="H38" s="209">
        <v>174067096.99000001</v>
      </c>
      <c r="I38" s="48">
        <v>290063636</v>
      </c>
      <c r="J38" s="48">
        <v>176143149.30000001</v>
      </c>
      <c r="K38" s="48">
        <v>245061026.93000001</v>
      </c>
      <c r="L38" s="6">
        <v>234531913</v>
      </c>
      <c r="M38" s="6">
        <v>257601214</v>
      </c>
      <c r="N38" s="425">
        <f t="shared" si="0"/>
        <v>109.80</v>
      </c>
      <c r="O38" s="142">
        <f t="shared" si="1"/>
        <v>23069301</v>
      </c>
      <c r="P38" s="19">
        <f t="shared" si="2"/>
        <v>12540187.069999993</v>
      </c>
    </row>
    <row r="39" spans="1:16" ht="12.75">
      <c r="A39" s="7">
        <v>358</v>
      </c>
      <c r="B39" s="8" t="s">
        <v>35</v>
      </c>
      <c r="C39" s="60">
        <v>138225116</v>
      </c>
      <c r="D39" s="60">
        <v>131019012</v>
      </c>
      <c r="E39" s="60">
        <v>137310482.88</v>
      </c>
      <c r="F39" s="60">
        <v>155074670.47999999</v>
      </c>
      <c r="G39" s="60">
        <v>178511690.72999999</v>
      </c>
      <c r="H39" s="209">
        <v>172050755.53999999</v>
      </c>
      <c r="I39" s="48">
        <v>242565156</v>
      </c>
      <c r="J39" s="48">
        <v>238379249.5</v>
      </c>
      <c r="K39" s="48">
        <v>314596850.56999999</v>
      </c>
      <c r="L39" s="6">
        <v>231559248</v>
      </c>
      <c r="M39" s="6">
        <v>233195735</v>
      </c>
      <c r="N39" s="425">
        <f t="shared" si="0"/>
        <v>100.70</v>
      </c>
      <c r="O39" s="142">
        <f t="shared" si="1"/>
        <v>1636487</v>
      </c>
      <c r="P39" s="19">
        <f t="shared" si="2"/>
        <v>-81401115.569999993</v>
      </c>
    </row>
    <row r="40" spans="1:16" ht="12.75">
      <c r="A40" s="7">
        <v>359</v>
      </c>
      <c r="B40" s="8" t="s">
        <v>139</v>
      </c>
      <c r="C40" s="60"/>
      <c r="D40" s="60"/>
      <c r="E40" s="60"/>
      <c r="F40" s="60"/>
      <c r="G40" s="60"/>
      <c r="H40" s="208"/>
      <c r="I40" s="48"/>
      <c r="J40" s="48"/>
      <c r="K40" s="48">
        <v>16726699.529999999</v>
      </c>
      <c r="L40" s="6">
        <v>25503936</v>
      </c>
      <c r="M40" s="6">
        <v>23669225</v>
      </c>
      <c r="N40" s="425">
        <f t="shared" si="0"/>
        <v>92.80</v>
      </c>
      <c r="O40" s="142">
        <f t="shared" si="1"/>
        <v>-1834711</v>
      </c>
      <c r="P40" s="19">
        <f t="shared" si="2"/>
        <v>6942525.4700000007</v>
      </c>
    </row>
    <row r="41" spans="1:16" ht="12.75">
      <c r="A41" s="7">
        <v>361</v>
      </c>
      <c r="B41" s="8" t="s">
        <v>36</v>
      </c>
      <c r="C41" s="60">
        <v>4879711883</v>
      </c>
      <c r="D41" s="60">
        <v>4673410435</v>
      </c>
      <c r="E41" s="60">
        <v>4467336332.4399996</v>
      </c>
      <c r="F41" s="60">
        <v>4452573266.8500004</v>
      </c>
      <c r="G41" s="60">
        <v>4693749105.6199999</v>
      </c>
      <c r="H41" s="209">
        <v>4777930160.1700001</v>
      </c>
      <c r="I41" s="48">
        <v>5133171000</v>
      </c>
      <c r="J41" s="48">
        <v>5231659778.6999998</v>
      </c>
      <c r="K41" s="48">
        <v>5619720168.2399998</v>
      </c>
      <c r="L41" s="6">
        <v>6022421793</v>
      </c>
      <c r="M41" s="6">
        <v>6513235825</v>
      </c>
      <c r="N41" s="425">
        <f t="shared" si="0"/>
        <v>108.10</v>
      </c>
      <c r="O41" s="142">
        <f t="shared" si="1"/>
        <v>490814032</v>
      </c>
      <c r="P41" s="19">
        <f t="shared" si="2"/>
        <v>893515656.76000023</v>
      </c>
    </row>
    <row r="42" spans="1:16" ht="17.25" customHeight="1">
      <c r="A42" s="7">
        <v>362</v>
      </c>
      <c r="B42" s="8" t="s">
        <v>164</v>
      </c>
      <c r="C42" s="60"/>
      <c r="D42" s="60"/>
      <c r="E42" s="60"/>
      <c r="F42" s="60"/>
      <c r="G42" s="60"/>
      <c r="H42" s="209"/>
      <c r="I42" s="48"/>
      <c r="J42" s="48"/>
      <c r="K42" s="48"/>
      <c r="L42" s="48">
        <v>0</v>
      </c>
      <c r="M42" s="6">
        <v>0</v>
      </c>
      <c r="N42" s="425" t="str">
        <f t="shared" si="0"/>
        <v xml:space="preserve"> </v>
      </c>
      <c r="O42" s="142">
        <f t="shared" si="1"/>
        <v>0</v>
      </c>
      <c r="P42" s="19">
        <f t="shared" si="2"/>
        <v>0</v>
      </c>
    </row>
    <row r="43" spans="1:16" ht="25.5">
      <c r="A43" s="7">
        <v>371</v>
      </c>
      <c r="B43" s="188" t="s">
        <v>140</v>
      </c>
      <c r="C43" s="60"/>
      <c r="D43" s="60"/>
      <c r="E43" s="60"/>
      <c r="F43" s="60"/>
      <c r="G43" s="60"/>
      <c r="H43" s="208"/>
      <c r="I43" s="48"/>
      <c r="J43" s="48">
        <v>15542666.23</v>
      </c>
      <c r="K43" s="48">
        <v>26676552.649999999</v>
      </c>
      <c r="L43" s="48">
        <v>34816619</v>
      </c>
      <c r="M43" s="48">
        <v>33921454</v>
      </c>
      <c r="N43" s="425">
        <f t="shared" si="0"/>
        <v>97.40</v>
      </c>
      <c r="O43" s="142">
        <f t="shared" si="1"/>
        <v>-895165</v>
      </c>
      <c r="P43" s="19">
        <f t="shared" si="2"/>
        <v>7244901.3500000015</v>
      </c>
    </row>
    <row r="44" spans="1:16" ht="12.75">
      <c r="A44" s="7">
        <v>372</v>
      </c>
      <c r="B44" s="8" t="s">
        <v>37</v>
      </c>
      <c r="C44" s="60">
        <v>53103194</v>
      </c>
      <c r="D44" s="60">
        <v>52388563</v>
      </c>
      <c r="E44" s="60">
        <v>52356734.030000001</v>
      </c>
      <c r="F44" s="60">
        <v>53530107.380000003</v>
      </c>
      <c r="G44" s="60">
        <v>55788451.200000003</v>
      </c>
      <c r="H44" s="209">
        <v>57544526.359999999</v>
      </c>
      <c r="I44" s="48">
        <v>62250749</v>
      </c>
      <c r="J44" s="48">
        <v>59531405.600000001</v>
      </c>
      <c r="K44" s="48">
        <v>62964815.869999997</v>
      </c>
      <c r="L44" s="48">
        <v>68154789</v>
      </c>
      <c r="M44" s="48">
        <v>66443765</v>
      </c>
      <c r="N44" s="425">
        <f t="shared" si="0"/>
        <v>97.50</v>
      </c>
      <c r="O44" s="142">
        <f t="shared" si="1"/>
        <v>-1711024</v>
      </c>
      <c r="P44" s="19">
        <f t="shared" si="2"/>
        <v>3478949.1300000027</v>
      </c>
    </row>
    <row r="45" spans="1:16" ht="12.75">
      <c r="A45" s="7">
        <v>373</v>
      </c>
      <c r="B45" s="8" t="s">
        <v>141</v>
      </c>
      <c r="C45" s="60"/>
      <c r="D45" s="60"/>
      <c r="E45" s="60"/>
      <c r="F45" s="60"/>
      <c r="G45" s="60"/>
      <c r="H45" s="208"/>
      <c r="I45" s="48"/>
      <c r="J45" s="48">
        <v>9696961.4900000002</v>
      </c>
      <c r="K45" s="48">
        <v>15920333.16</v>
      </c>
      <c r="L45" s="48">
        <v>19584073</v>
      </c>
      <c r="M45" s="48">
        <v>22125824</v>
      </c>
      <c r="N45" s="425">
        <f t="shared" si="0"/>
        <v>113</v>
      </c>
      <c r="O45" s="142">
        <f t="shared" si="1"/>
        <v>2541751</v>
      </c>
      <c r="P45" s="19">
        <f t="shared" si="2"/>
        <v>6205490.8399999999</v>
      </c>
    </row>
    <row r="46" spans="1:16" ht="12.75">
      <c r="A46" s="7">
        <v>374</v>
      </c>
      <c r="B46" s="8" t="s">
        <v>38</v>
      </c>
      <c r="C46" s="60">
        <v>2017257118</v>
      </c>
      <c r="D46" s="60">
        <v>2034787498</v>
      </c>
      <c r="E46" s="60">
        <v>2180813134.27</v>
      </c>
      <c r="F46" s="60">
        <v>2067418818.3900001</v>
      </c>
      <c r="G46" s="60">
        <v>2105215687.45</v>
      </c>
      <c r="H46" s="209">
        <v>2208089470.5</v>
      </c>
      <c r="I46" s="48">
        <v>2559094440</v>
      </c>
      <c r="J46" s="48">
        <v>2586792388.2399998</v>
      </c>
      <c r="K46" s="48">
        <v>2475661775.5700002</v>
      </c>
      <c r="L46" s="48">
        <v>2698959708</v>
      </c>
      <c r="M46" s="48">
        <v>2545755399</v>
      </c>
      <c r="N46" s="425">
        <f t="shared" si="0"/>
        <v>94.30</v>
      </c>
      <c r="O46" s="142">
        <f t="shared" si="1"/>
        <v>-153204309</v>
      </c>
      <c r="P46" s="19">
        <f t="shared" si="2"/>
        <v>70093623.429999828</v>
      </c>
    </row>
    <row r="47" spans="1:16" ht="12.75">
      <c r="A47" s="7">
        <v>375</v>
      </c>
      <c r="B47" s="8" t="s">
        <v>39</v>
      </c>
      <c r="C47" s="60">
        <v>322301545</v>
      </c>
      <c r="D47" s="60">
        <v>310321549</v>
      </c>
      <c r="E47" s="60">
        <v>322184992.04000002</v>
      </c>
      <c r="F47" s="60">
        <v>324447119.69</v>
      </c>
      <c r="G47" s="60">
        <v>342772988.45999998</v>
      </c>
      <c r="H47" s="209">
        <v>351653936.99000001</v>
      </c>
      <c r="I47" s="48">
        <v>351236161</v>
      </c>
      <c r="J47" s="48">
        <v>402120891.70999998</v>
      </c>
      <c r="K47" s="48">
        <v>394982587.52999997</v>
      </c>
      <c r="L47" s="48">
        <v>429801218</v>
      </c>
      <c r="M47" s="48">
        <v>427886510</v>
      </c>
      <c r="N47" s="425">
        <f t="shared" si="0"/>
        <v>99.60</v>
      </c>
      <c r="O47" s="142">
        <f t="shared" si="1"/>
        <v>-1914708</v>
      </c>
      <c r="P47" s="19">
        <f t="shared" si="2"/>
        <v>32903922.470000029</v>
      </c>
    </row>
    <row r="48" spans="1:16" ht="12.75">
      <c r="A48" s="7">
        <v>376</v>
      </c>
      <c r="B48" s="8" t="s">
        <v>40</v>
      </c>
      <c r="C48" s="60"/>
      <c r="D48" s="60">
        <v>310467619</v>
      </c>
      <c r="E48" s="60">
        <v>275534376.29000002</v>
      </c>
      <c r="F48" s="60">
        <v>282333266.16000003</v>
      </c>
      <c r="G48" s="60">
        <v>270490912.87</v>
      </c>
      <c r="H48" s="209">
        <v>282522693.76999998</v>
      </c>
      <c r="I48" s="48">
        <v>307586476</v>
      </c>
      <c r="J48" s="48">
        <v>374944522.54000002</v>
      </c>
      <c r="K48" s="48">
        <v>406274928.60000002</v>
      </c>
      <c r="L48" s="48">
        <v>405838074</v>
      </c>
      <c r="M48" s="48">
        <v>428566093</v>
      </c>
      <c r="N48" s="425">
        <f t="shared" si="0"/>
        <v>105.60</v>
      </c>
      <c r="O48" s="142">
        <f t="shared" si="1"/>
        <v>22728019</v>
      </c>
      <c r="P48" s="19">
        <f t="shared" si="2"/>
        <v>22291164.399999976</v>
      </c>
    </row>
    <row r="49" spans="1:16" ht="12.75">
      <c r="A49" s="7">
        <v>377</v>
      </c>
      <c r="B49" s="8" t="s">
        <v>41</v>
      </c>
      <c r="C49" s="60">
        <v>814976469</v>
      </c>
      <c r="D49" s="60">
        <v>1898575137</v>
      </c>
      <c r="E49" s="60">
        <v>2603070222.0700002</v>
      </c>
      <c r="F49" s="60">
        <v>2918786506.8200002</v>
      </c>
      <c r="G49" s="60">
        <v>3169883043.9899998</v>
      </c>
      <c r="H49" s="60">
        <v>2823387116.54</v>
      </c>
      <c r="I49" s="48">
        <v>3526930833</v>
      </c>
      <c r="J49" s="48">
        <v>2923837659.6999998</v>
      </c>
      <c r="K49" s="48">
        <v>2875258460.8000002</v>
      </c>
      <c r="L49" s="48">
        <v>4274646444</v>
      </c>
      <c r="M49" s="48">
        <v>4148964850</v>
      </c>
      <c r="N49" s="425">
        <f t="shared" si="0"/>
        <v>97.10</v>
      </c>
      <c r="O49" s="142">
        <f t="shared" si="1"/>
        <v>-125681594</v>
      </c>
      <c r="P49" s="19">
        <f t="shared" si="2"/>
        <v>1273706389.1999998</v>
      </c>
    </row>
    <row r="50" spans="1:16" ht="25.5">
      <c r="A50" s="7">
        <v>378</v>
      </c>
      <c r="B50" s="188" t="s">
        <v>148</v>
      </c>
      <c r="C50" s="60"/>
      <c r="D50" s="60"/>
      <c r="E50" s="60"/>
      <c r="F50" s="60"/>
      <c r="G50" s="60"/>
      <c r="H50" s="60"/>
      <c r="I50" s="48"/>
      <c r="J50" s="48">
        <v>90234714.379999995</v>
      </c>
      <c r="K50" s="48">
        <v>348735246</v>
      </c>
      <c r="L50" s="48">
        <v>352460730</v>
      </c>
      <c r="M50" s="48">
        <v>446182429</v>
      </c>
      <c r="N50" s="425">
        <f t="shared" si="0"/>
        <v>126.60</v>
      </c>
      <c r="O50" s="142">
        <f t="shared" si="1"/>
        <v>93721699</v>
      </c>
      <c r="P50" s="19">
        <f t="shared" si="2"/>
        <v>97447183</v>
      </c>
    </row>
    <row r="51" spans="1:16" ht="12.75">
      <c r="A51" s="7">
        <v>381</v>
      </c>
      <c r="B51" s="8" t="s">
        <v>42</v>
      </c>
      <c r="C51" s="60">
        <v>501356229</v>
      </c>
      <c r="D51" s="60">
        <v>468618590</v>
      </c>
      <c r="E51" s="60">
        <v>463881282.47000003</v>
      </c>
      <c r="F51" s="60">
        <v>435440953.08999997</v>
      </c>
      <c r="G51" s="60">
        <v>472924502.23000002</v>
      </c>
      <c r="H51" s="60">
        <v>496107041.56999999</v>
      </c>
      <c r="I51" s="48">
        <v>518777692</v>
      </c>
      <c r="J51" s="48">
        <v>504122236.29000002</v>
      </c>
      <c r="K51" s="48">
        <v>575725229.92999995</v>
      </c>
      <c r="L51" s="48">
        <v>894507530</v>
      </c>
      <c r="M51" s="48">
        <v>690387855</v>
      </c>
      <c r="N51" s="425">
        <f t="shared" si="0"/>
        <v>77.20</v>
      </c>
      <c r="O51" s="142">
        <f t="shared" si="1"/>
        <v>-204119675</v>
      </c>
      <c r="P51" s="19">
        <f t="shared" si="2"/>
        <v>114662625.07000005</v>
      </c>
    </row>
    <row r="52" spans="1:16" ht="12.75">
      <c r="A52" s="7">
        <v>396</v>
      </c>
      <c r="B52" s="8" t="s">
        <v>43</v>
      </c>
      <c r="C52" s="60">
        <v>55633280057</v>
      </c>
      <c r="D52" s="60">
        <v>57088552460</v>
      </c>
      <c r="E52" s="60">
        <v>57842611398.029999</v>
      </c>
      <c r="F52" s="60">
        <v>55894684708.519997</v>
      </c>
      <c r="G52" s="60">
        <v>53193699830.370003</v>
      </c>
      <c r="H52" s="60">
        <v>40653886070.459999</v>
      </c>
      <c r="I52" s="48">
        <v>46342500000</v>
      </c>
      <c r="J52" s="48">
        <v>40151165292.209999</v>
      </c>
      <c r="K52" s="48">
        <v>40729364082.040001</v>
      </c>
      <c r="L52" s="48">
        <v>46499000000</v>
      </c>
      <c r="M52" s="48">
        <v>45810880286</v>
      </c>
      <c r="N52" s="425">
        <f t="shared" si="0"/>
        <v>98.50</v>
      </c>
      <c r="O52" s="142">
        <f t="shared" si="1"/>
        <v>-688119714</v>
      </c>
      <c r="P52" s="19">
        <f t="shared" si="2"/>
        <v>5081516203.9599991</v>
      </c>
    </row>
    <row r="53" spans="1:16" ht="12.75">
      <c r="A53" s="7">
        <v>397</v>
      </c>
      <c r="B53" s="8" t="s">
        <v>44</v>
      </c>
      <c r="C53" s="60">
        <v>251167873</v>
      </c>
      <c r="D53" s="60">
        <v>307728668</v>
      </c>
      <c r="E53" s="60">
        <v>267892750</v>
      </c>
      <c r="F53" s="60">
        <v>205233301.33000001</v>
      </c>
      <c r="G53" s="60">
        <v>262807547.59999999</v>
      </c>
      <c r="H53" s="60">
        <v>336496799.50999999</v>
      </c>
      <c r="I53" s="48">
        <v>1245000000</v>
      </c>
      <c r="J53" s="48">
        <v>65022217.329999998</v>
      </c>
      <c r="K53" s="48">
        <v>2737023.12</v>
      </c>
      <c r="L53" s="48">
        <v>315000000</v>
      </c>
      <c r="M53" s="48">
        <v>365000000</v>
      </c>
      <c r="N53" s="425">
        <f t="shared" si="0"/>
        <v>115.90</v>
      </c>
      <c r="O53" s="142">
        <f t="shared" si="1"/>
        <v>50000000</v>
      </c>
      <c r="P53" s="19">
        <f t="shared" si="2"/>
        <v>362262976.88</v>
      </c>
    </row>
    <row r="54" spans="1:16" ht="12.75">
      <c r="A54" s="7">
        <v>398</v>
      </c>
      <c r="B54" s="8" t="s">
        <v>45</v>
      </c>
      <c r="C54" s="60">
        <v>134436825094</v>
      </c>
      <c r="D54" s="60">
        <v>119990606758</v>
      </c>
      <c r="E54" s="60">
        <v>124442619358.64</v>
      </c>
      <c r="F54" s="60">
        <v>130052010022.08</v>
      </c>
      <c r="G54" s="60">
        <v>125877042644.28</v>
      </c>
      <c r="H54" s="60">
        <v>132727218108.7</v>
      </c>
      <c r="I54" s="48">
        <v>146147098675</v>
      </c>
      <c r="J54" s="48">
        <v>130654060967.17</v>
      </c>
      <c r="K54" s="48">
        <v>142545374142.10999</v>
      </c>
      <c r="L54" s="48">
        <v>157448129462</v>
      </c>
      <c r="M54" s="48">
        <v>168863058009</v>
      </c>
      <c r="N54" s="425">
        <f t="shared" si="0"/>
        <v>107.20</v>
      </c>
      <c r="O54" s="142">
        <f t="shared" si="1"/>
        <v>11414928547</v>
      </c>
      <c r="P54" s="19">
        <f t="shared" si="2"/>
        <v>26317683866.890015</v>
      </c>
    </row>
    <row r="55" spans="1:16" ht="12.75">
      <c r="A55" s="9"/>
      <c r="B55" s="10"/>
      <c r="C55" s="58"/>
      <c r="D55" s="58"/>
      <c r="E55" s="58"/>
      <c r="F55" s="58"/>
      <c r="G55" s="58"/>
      <c r="H55" s="58"/>
      <c r="I55" s="48"/>
      <c r="J55" s="255"/>
      <c r="K55" s="255"/>
      <c r="L55" s="255"/>
      <c r="M55" s="48"/>
      <c r="N55" s="140" t="str">
        <f t="shared" si="0"/>
        <v xml:space="preserve"> </v>
      </c>
      <c r="O55" s="6"/>
      <c r="P55" s="19"/>
    </row>
    <row r="56" spans="1:16" ht="13.5" thickBot="1">
      <c r="A56" s="12"/>
      <c r="B56" s="13"/>
      <c r="C56" s="59"/>
      <c r="D56" s="59"/>
      <c r="E56" s="59"/>
      <c r="F56" s="59"/>
      <c r="G56" s="59"/>
      <c r="H56" s="59"/>
      <c r="I56" s="138"/>
      <c r="J56" s="138"/>
      <c r="K56" s="138"/>
      <c r="L56" s="14"/>
      <c r="M56" s="14"/>
      <c r="N56" s="141" t="str">
        <f t="shared" si="0"/>
        <v xml:space="preserve"> </v>
      </c>
      <c r="O56" s="14"/>
      <c r="P56" s="46"/>
    </row>
    <row r="57" spans="1:16" ht="17.25" customHeight="1" thickTop="1" thickBot="1">
      <c r="A57" s="15"/>
      <c r="B57" s="16" t="s">
        <v>46</v>
      </c>
      <c r="C57" s="17">
        <f t="shared" si="3" ref="C57:P57">SUM(C8:C56)</f>
        <v>1155526204732</v>
      </c>
      <c r="D57" s="17">
        <f t="shared" si="3"/>
        <v>1152386677402</v>
      </c>
      <c r="E57" s="17">
        <f t="shared" si="3"/>
        <v>1173127823286.1997</v>
      </c>
      <c r="F57" s="17">
        <f t="shared" si="3"/>
        <v>1211608153163.8999</v>
      </c>
      <c r="G57" s="17">
        <f t="shared" si="3"/>
        <v>1297321588340.9399</v>
      </c>
      <c r="H57" s="17">
        <f>SUM(H8:H56)</f>
        <v>1219843518371.9602</v>
      </c>
      <c r="I57" s="93">
        <f t="shared" si="3"/>
        <v>1309272037180</v>
      </c>
      <c r="J57" s="93">
        <f t="shared" si="4" ref="J57:K57">SUM(J8:J56)</f>
        <v>1279795656039.46</v>
      </c>
      <c r="K57" s="93">
        <f t="shared" si="4"/>
        <v>1400974393335.9507</v>
      </c>
      <c r="L57" s="17">
        <f t="shared" si="3"/>
        <v>1505359071851</v>
      </c>
      <c r="M57" s="540">
        <f t="shared" si="3"/>
        <v>1598142507889</v>
      </c>
      <c r="N57" s="541">
        <f t="shared" si="0"/>
        <v>106.20</v>
      </c>
      <c r="O57" s="17">
        <f t="shared" si="3"/>
        <v>92783436038</v>
      </c>
      <c r="P57" s="216">
        <f t="shared" si="3"/>
        <v>197168114553.05008</v>
      </c>
    </row>
    <row r="58" ht="13.5" thickBot="1"/>
    <row r="59" spans="2:14" ht="13.5" thickBot="1">
      <c r="B59" s="61" t="s">
        <v>129</v>
      </c>
      <c r="C59" s="62">
        <v>-142770831542</v>
      </c>
      <c r="D59" s="62">
        <v>-100999808092</v>
      </c>
      <c r="E59" s="62">
        <v>-81264426905.179687</v>
      </c>
      <c r="F59" s="62">
        <v>-77782245253.919922</v>
      </c>
      <c r="G59" s="62">
        <v>-62804243282.200195</v>
      </c>
      <c r="H59" s="62">
        <v>61774041352.330322</v>
      </c>
      <c r="I59" s="62">
        <v>-60000000000</v>
      </c>
      <c r="J59" s="62">
        <v>-6151273919.4399414</v>
      </c>
      <c r="K59" s="62">
        <v>2943628735.7792969</v>
      </c>
      <c r="L59" s="181">
        <v>-40000000000</v>
      </c>
      <c r="M59" s="181">
        <v>-40000000000</v>
      </c>
      <c r="N59" s="148"/>
    </row>
  </sheetData>
  <mergeCells count="1">
    <mergeCell ref="B5:L5"/>
  </mergeCells>
  <printOptions horizontalCentered="1"/>
  <pageMargins left="0.433070866141732" right="0.31496062992126" top="0.42" bottom="0.590551181102362" header="0.29" footer="0.31496062992126"/>
  <pageSetup orientation="landscape" paperSize="9" scale="6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1"/>
  <sheetViews>
    <sheetView workbookViewId="0" topLeftCell="A1">
      <pane xSplit="2" ySplit="7" topLeftCell="E8" activePane="bottomRight" state="frozen"/>
      <selection pane="topLeft" activeCell="P16" sqref="P16"/>
      <selection pane="bottomLeft" activeCell="P16" sqref="P16"/>
      <selection pane="topRight" activeCell="P16" sqref="P16"/>
      <selection pane="bottomRight" activeCell="K71" sqref="K71"/>
    </sheetView>
  </sheetViews>
  <sheetFormatPr defaultRowHeight="12.75"/>
  <cols>
    <col min="1" max="1" width="9.28571428571429" style="1"/>
    <col min="2" max="2" width="45.1428571428571" style="1" customWidth="1"/>
    <col min="3" max="4" width="0" style="1" hidden="1" customWidth="1"/>
    <col min="5" max="5" width="0" style="1" hidden="1" customWidth="1"/>
    <col min="6" max="6" width="0" style="1" hidden="1" customWidth="1"/>
    <col min="7" max="8" width="18.7142857142857" style="1" bestFit="1" customWidth="1"/>
    <col min="9" max="9" width="0" style="1" hidden="1" customWidth="1"/>
    <col min="10" max="15" width="18.7142857142857" style="1" bestFit="1" customWidth="1"/>
    <col min="16" max="16" width="11.5714285714286" style="1" customWidth="1"/>
    <col min="17" max="17" width="17.7142857142857" style="1" bestFit="1" customWidth="1"/>
    <col min="18" max="18" width="18.5714285714286" style="1" bestFit="1" customWidth="1"/>
    <col min="19" max="20" width="15.7142857142857" style="1" bestFit="1" customWidth="1"/>
    <col min="21" max="23" width="9.28571428571429" style="1"/>
    <col min="24" max="24" width="16.5714285714286" style="1" bestFit="1" customWidth="1"/>
    <col min="25" max="16384" width="9.28571428571429" style="1"/>
  </cols>
  <sheetData>
    <row r="1" spans="12:15" s="151" customFormat="1" ht="12.75">
      <c r="L1" s="217"/>
      <c r="M1" s="217"/>
      <c r="O1" s="151" t="s">
        <v>49</v>
      </c>
    </row>
    <row r="2" s="151" customFormat="1" ht="12.75"/>
    <row r="3" spans="2:8" s="151" customFormat="1" ht="14.25">
      <c r="B3" s="3" t="s">
        <v>173</v>
      </c>
      <c r="C3" s="3"/>
      <c r="D3" s="3"/>
      <c r="E3" s="3"/>
      <c r="F3" s="3"/>
      <c r="G3" s="3"/>
      <c r="H3" s="3"/>
    </row>
    <row r="4" spans="2:16" s="151" customFormat="1" ht="12.75">
      <c r="B4" s="244" t="s">
        <v>195</v>
      </c>
      <c r="L4" s="217"/>
      <c r="N4" s="217"/>
      <c r="O4" s="217"/>
      <c r="P4" s="217"/>
    </row>
    <row r="5" spans="2:16" s="151" customFormat="1" ht="12.75"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38"/>
      <c r="P5" s="538"/>
    </row>
    <row r="6" s="151" customFormat="1" ht="13.5" thickBot="1">
      <c r="O6" s="151" t="s">
        <v>1</v>
      </c>
    </row>
    <row r="7" spans="1:20" s="151" customFormat="1" ht="41.25" customHeight="1" thickBot="1">
      <c r="A7" s="245" t="s">
        <v>2</v>
      </c>
      <c r="B7" s="246" t="s">
        <v>3</v>
      </c>
      <c r="C7" s="85" t="s">
        <v>65</v>
      </c>
      <c r="D7" s="154" t="s">
        <v>59</v>
      </c>
      <c r="E7" s="154" t="s">
        <v>63</v>
      </c>
      <c r="F7" s="154" t="s">
        <v>124</v>
      </c>
      <c r="G7" s="154" t="s">
        <v>125</v>
      </c>
      <c r="H7" s="154" t="s">
        <v>142</v>
      </c>
      <c r="I7" s="85" t="s">
        <v>143</v>
      </c>
      <c r="J7" s="85" t="s">
        <v>149</v>
      </c>
      <c r="K7" s="85" t="s">
        <v>165</v>
      </c>
      <c r="L7" s="137">
        <v>2019</v>
      </c>
      <c r="M7" s="137">
        <v>2020</v>
      </c>
      <c r="N7" s="137">
        <v>2021</v>
      </c>
      <c r="O7" s="137">
        <v>2022</v>
      </c>
      <c r="P7" s="68" t="s">
        <v>144</v>
      </c>
      <c r="Q7" s="68" t="s">
        <v>166</v>
      </c>
      <c r="R7" s="85" t="s">
        <v>167</v>
      </c>
      <c r="S7" s="68" t="s">
        <v>152</v>
      </c>
      <c r="T7" s="132" t="s">
        <v>168</v>
      </c>
    </row>
    <row r="8" spans="1:20" ht="12.75">
      <c r="A8" s="4">
        <v>301</v>
      </c>
      <c r="B8" s="5" t="s">
        <v>4</v>
      </c>
      <c r="C8" s="60">
        <v>329638831</v>
      </c>
      <c r="D8" s="60">
        <v>359176253</v>
      </c>
      <c r="E8" s="60">
        <v>340525339</v>
      </c>
      <c r="F8" s="60">
        <v>350998207</v>
      </c>
      <c r="G8" s="60">
        <v>371062516</v>
      </c>
      <c r="H8" s="60">
        <v>388769709.41000003</v>
      </c>
      <c r="I8" s="48">
        <v>437782562</v>
      </c>
      <c r="J8" s="48">
        <v>436321922.81</v>
      </c>
      <c r="K8" s="48">
        <v>509534983.51999998</v>
      </c>
      <c r="L8" s="48">
        <v>405364725</v>
      </c>
      <c r="M8" s="48">
        <v>404730280</v>
      </c>
      <c r="N8" s="48">
        <v>404893480</v>
      </c>
      <c r="O8" s="48">
        <v>404893480</v>
      </c>
      <c r="P8" s="425">
        <f>IF(L8=0," ",IF(L8&gt;0,ROUND(M8/L8*100,1)))</f>
        <v>99.80</v>
      </c>
      <c r="Q8" s="6">
        <f>M8-L8</f>
        <v>-634445</v>
      </c>
      <c r="R8" s="6">
        <f>M8-K8</f>
        <v>-104804703.51999998</v>
      </c>
      <c r="S8" s="149">
        <f>N8-M8</f>
        <v>163200</v>
      </c>
      <c r="T8" s="19">
        <f>O8-N8</f>
        <v>0</v>
      </c>
    </row>
    <row r="9" spans="1:20" ht="12.75">
      <c r="A9" s="7">
        <v>302</v>
      </c>
      <c r="B9" s="8" t="s">
        <v>5</v>
      </c>
      <c r="C9" s="60">
        <v>1083270327</v>
      </c>
      <c r="D9" s="60">
        <v>1079288974</v>
      </c>
      <c r="E9" s="60">
        <v>1025420285</v>
      </c>
      <c r="F9" s="60">
        <v>1122215933</v>
      </c>
      <c r="G9" s="60">
        <v>1135522581.4300001</v>
      </c>
      <c r="H9" s="60">
        <v>1165430303.6199999</v>
      </c>
      <c r="I9" s="48">
        <v>1238934864</v>
      </c>
      <c r="J9" s="48">
        <v>1214983290.5</v>
      </c>
      <c r="K9" s="48">
        <v>1309316580.4300001</v>
      </c>
      <c r="L9" s="48">
        <v>1332355420</v>
      </c>
      <c r="M9" s="48">
        <v>1358947423</v>
      </c>
      <c r="N9" s="48">
        <v>1374443530</v>
      </c>
      <c r="O9" s="48">
        <v>1441380130</v>
      </c>
      <c r="P9" s="425">
        <f t="shared" si="0" ref="P9:P54">IF(L9=0," ",IF(L9&gt;0,ROUND(M9/L9*100,1)))</f>
        <v>102</v>
      </c>
      <c r="Q9" s="6">
        <f t="shared" si="1" ref="Q9:Q54">M9-L9</f>
        <v>26592003</v>
      </c>
      <c r="R9" s="6">
        <f t="shared" si="2" ref="R9:R54">M9-K9</f>
        <v>49630842.569999933</v>
      </c>
      <c r="S9" s="149">
        <f t="shared" si="3" ref="S9:T54">N9-M9</f>
        <v>15496107</v>
      </c>
      <c r="T9" s="19">
        <f t="shared" si="3"/>
        <v>66936600</v>
      </c>
    </row>
    <row r="10" spans="1:20" ht="12.75">
      <c r="A10" s="7">
        <v>303</v>
      </c>
      <c r="B10" s="8" t="s">
        <v>6</v>
      </c>
      <c r="C10" s="60">
        <v>500200071</v>
      </c>
      <c r="D10" s="60">
        <v>489457508</v>
      </c>
      <c r="E10" s="60">
        <v>489441315</v>
      </c>
      <c r="F10" s="60">
        <v>470786398</v>
      </c>
      <c r="G10" s="60">
        <v>490468571.10000002</v>
      </c>
      <c r="H10" s="60">
        <v>522198946.25</v>
      </c>
      <c r="I10" s="48">
        <v>556147461</v>
      </c>
      <c r="J10" s="48">
        <v>532293121.04000002</v>
      </c>
      <c r="K10" s="48">
        <v>548649566.39999998</v>
      </c>
      <c r="L10" s="48">
        <v>605343544</v>
      </c>
      <c r="M10" s="48">
        <v>628663638</v>
      </c>
      <c r="N10" s="48">
        <v>618849832</v>
      </c>
      <c r="O10" s="48">
        <v>640217252</v>
      </c>
      <c r="P10" s="425">
        <f t="shared" si="0"/>
        <v>103.90</v>
      </c>
      <c r="Q10" s="6">
        <f t="shared" si="1"/>
        <v>23320094</v>
      </c>
      <c r="R10" s="6">
        <f t="shared" si="2"/>
        <v>80014071.600000024</v>
      </c>
      <c r="S10" s="149">
        <f t="shared" si="3"/>
        <v>-9813806</v>
      </c>
      <c r="T10" s="19">
        <f t="shared" si="3"/>
        <v>21367420</v>
      </c>
    </row>
    <row r="11" spans="1:20" ht="12.75">
      <c r="A11" s="7">
        <v>304</v>
      </c>
      <c r="B11" s="8" t="s">
        <v>7</v>
      </c>
      <c r="C11" s="60">
        <v>656783221</v>
      </c>
      <c r="D11" s="60">
        <v>659587231</v>
      </c>
      <c r="E11" s="60">
        <v>645321894</v>
      </c>
      <c r="F11" s="60">
        <v>683796117</v>
      </c>
      <c r="G11" s="60">
        <v>1580850915.6300001</v>
      </c>
      <c r="H11" s="60">
        <v>819027589.50999999</v>
      </c>
      <c r="I11" s="48">
        <v>1135677752</v>
      </c>
      <c r="J11" s="48">
        <v>888689057.38999999</v>
      </c>
      <c r="K11" s="48">
        <v>1011715662.86</v>
      </c>
      <c r="L11" s="48">
        <v>1011735552</v>
      </c>
      <c r="M11" s="48">
        <v>987010218</v>
      </c>
      <c r="N11" s="48">
        <v>943310218</v>
      </c>
      <c r="O11" s="48">
        <v>913310218</v>
      </c>
      <c r="P11" s="425">
        <f t="shared" si="0"/>
        <v>97.60</v>
      </c>
      <c r="Q11" s="6">
        <f t="shared" si="1"/>
        <v>-24725334</v>
      </c>
      <c r="R11" s="6">
        <f t="shared" si="2"/>
        <v>-24705444.860000014</v>
      </c>
      <c r="S11" s="149">
        <f t="shared" si="3"/>
        <v>-43700000</v>
      </c>
      <c r="T11" s="19">
        <f t="shared" si="3"/>
        <v>-30000000</v>
      </c>
    </row>
    <row r="12" spans="1:20" ht="12.75">
      <c r="A12" s="7">
        <v>305</v>
      </c>
      <c r="B12" s="8" t="s">
        <v>8</v>
      </c>
      <c r="C12" s="60">
        <v>1123104453</v>
      </c>
      <c r="D12" s="60">
        <v>1085946502</v>
      </c>
      <c r="E12" s="60">
        <v>1162156580</v>
      </c>
      <c r="F12" s="60">
        <v>1174065657</v>
      </c>
      <c r="G12" s="60">
        <v>1207680789.51</v>
      </c>
      <c r="H12" s="60">
        <v>1426427407.28</v>
      </c>
      <c r="I12" s="6">
        <v>1652946000</v>
      </c>
      <c r="J12" s="48">
        <v>1370904518</v>
      </c>
      <c r="K12" s="48">
        <v>1649972943.9200001</v>
      </c>
      <c r="L12" s="48">
        <v>2076974408</v>
      </c>
      <c r="M12" s="48">
        <v>2100974408</v>
      </c>
      <c r="N12" s="48">
        <v>2100974408</v>
      </c>
      <c r="O12" s="48">
        <v>2100974408</v>
      </c>
      <c r="P12" s="425">
        <f t="shared" si="0"/>
        <v>101.20</v>
      </c>
      <c r="Q12" s="6">
        <f t="shared" si="1"/>
        <v>24000000</v>
      </c>
      <c r="R12" s="6">
        <f t="shared" si="2"/>
        <v>451001464.07999992</v>
      </c>
      <c r="S12" s="149">
        <f t="shared" si="3"/>
        <v>0</v>
      </c>
      <c r="T12" s="19">
        <f t="shared" si="3"/>
        <v>0</v>
      </c>
    </row>
    <row r="13" spans="1:20" ht="12.75">
      <c r="A13" s="7">
        <v>306</v>
      </c>
      <c r="B13" s="8" t="s">
        <v>9</v>
      </c>
      <c r="C13" s="60">
        <v>5868538469</v>
      </c>
      <c r="D13" s="60">
        <v>5756941922</v>
      </c>
      <c r="E13" s="60">
        <v>6153046924</v>
      </c>
      <c r="F13" s="60">
        <v>6028454229</v>
      </c>
      <c r="G13" s="60">
        <v>6506682271.5100002</v>
      </c>
      <c r="H13" s="60">
        <v>7073737698.2299995</v>
      </c>
      <c r="I13" s="6">
        <v>7645216705</v>
      </c>
      <c r="J13" s="48">
        <v>7414698420.21</v>
      </c>
      <c r="K13" s="48">
        <v>7807628172.0200005</v>
      </c>
      <c r="L13" s="48">
        <v>8127005597</v>
      </c>
      <c r="M13" s="48">
        <v>7861462480</v>
      </c>
      <c r="N13" s="48">
        <v>7721214824</v>
      </c>
      <c r="O13" s="48">
        <v>7658171630</v>
      </c>
      <c r="P13" s="425">
        <f t="shared" si="0"/>
        <v>96.70</v>
      </c>
      <c r="Q13" s="6">
        <f t="shared" si="1"/>
        <v>-265543117</v>
      </c>
      <c r="R13" s="6">
        <f t="shared" si="2"/>
        <v>53834307.979999542</v>
      </c>
      <c r="S13" s="149">
        <f t="shared" si="3"/>
        <v>-140247656</v>
      </c>
      <c r="T13" s="19">
        <f t="shared" si="3"/>
        <v>-63043194</v>
      </c>
    </row>
    <row r="14" spans="1:20" ht="12.75">
      <c r="A14" s="7">
        <v>307</v>
      </c>
      <c r="B14" s="8" t="s">
        <v>10</v>
      </c>
      <c r="C14" s="60">
        <v>45692085380</v>
      </c>
      <c r="D14" s="60">
        <v>42913644297</v>
      </c>
      <c r="E14" s="60">
        <v>41346222412</v>
      </c>
      <c r="F14" s="60">
        <v>41012543105</v>
      </c>
      <c r="G14" s="60">
        <v>47134191821.190002</v>
      </c>
      <c r="H14" s="60">
        <v>45668193656.400002</v>
      </c>
      <c r="I14" s="6">
        <v>52497563314</v>
      </c>
      <c r="J14" s="48">
        <v>52902649941.650002</v>
      </c>
      <c r="K14" s="48">
        <v>59781600228.339996</v>
      </c>
      <c r="L14" s="48">
        <v>66628407622</v>
      </c>
      <c r="M14" s="48">
        <v>74280513750</v>
      </c>
      <c r="N14" s="48">
        <v>85316000000</v>
      </c>
      <c r="O14" s="48">
        <v>95160000000</v>
      </c>
      <c r="P14" s="425">
        <f t="shared" si="0"/>
        <v>111.50</v>
      </c>
      <c r="Q14" s="6">
        <f t="shared" si="1"/>
        <v>7652106128</v>
      </c>
      <c r="R14" s="6">
        <f t="shared" si="2"/>
        <v>14498913521.660004</v>
      </c>
      <c r="S14" s="149">
        <f t="shared" si="3"/>
        <v>11035486250</v>
      </c>
      <c r="T14" s="19">
        <f t="shared" si="3"/>
        <v>9844000000</v>
      </c>
    </row>
    <row r="15" spans="1:20" ht="12.75">
      <c r="A15" s="7">
        <v>308</v>
      </c>
      <c r="B15" s="8" t="s">
        <v>11</v>
      </c>
      <c r="C15" s="60">
        <v>245046833</v>
      </c>
      <c r="D15" s="60">
        <v>245052936</v>
      </c>
      <c r="E15" s="60">
        <v>293502420</v>
      </c>
      <c r="F15" s="60">
        <v>306219385</v>
      </c>
      <c r="G15" s="60">
        <v>310410618.25999999</v>
      </c>
      <c r="H15" s="60">
        <v>371137401.38999999</v>
      </c>
      <c r="I15" s="6">
        <v>417769097</v>
      </c>
      <c r="J15" s="48">
        <v>345704862.56999999</v>
      </c>
      <c r="K15" s="48">
        <v>277098751.27999997</v>
      </c>
      <c r="L15" s="48">
        <v>301507594</v>
      </c>
      <c r="M15" s="48">
        <v>278022040</v>
      </c>
      <c r="N15" s="48">
        <v>278022040</v>
      </c>
      <c r="O15" s="48">
        <v>278022040</v>
      </c>
      <c r="P15" s="425">
        <f t="shared" si="0"/>
        <v>92.20</v>
      </c>
      <c r="Q15" s="6">
        <f t="shared" si="1"/>
        <v>-23485554</v>
      </c>
      <c r="R15" s="6">
        <f t="shared" si="2"/>
        <v>923288.72000002861</v>
      </c>
      <c r="S15" s="149">
        <f t="shared" si="3"/>
        <v>0</v>
      </c>
      <c r="T15" s="19">
        <f t="shared" si="3"/>
        <v>0</v>
      </c>
    </row>
    <row r="16" spans="1:20" ht="12.75">
      <c r="A16" s="7">
        <v>309</v>
      </c>
      <c r="B16" s="8" t="s">
        <v>12</v>
      </c>
      <c r="C16" s="60">
        <v>79292019</v>
      </c>
      <c r="D16" s="60">
        <v>85405016</v>
      </c>
      <c r="E16" s="60">
        <v>89511335</v>
      </c>
      <c r="F16" s="60">
        <v>95743100</v>
      </c>
      <c r="G16" s="60">
        <v>104874360.56999999</v>
      </c>
      <c r="H16" s="60">
        <v>111283855.20999999</v>
      </c>
      <c r="I16" s="6">
        <v>110055332</v>
      </c>
      <c r="J16" s="6">
        <v>121163103.84</v>
      </c>
      <c r="K16" s="6">
        <v>179650400.53</v>
      </c>
      <c r="L16" s="48">
        <v>158143749</v>
      </c>
      <c r="M16" s="48">
        <v>148233854</v>
      </c>
      <c r="N16" s="48">
        <v>153959454</v>
      </c>
      <c r="O16" s="48">
        <v>151113454</v>
      </c>
      <c r="P16" s="425">
        <f t="shared" si="0"/>
        <v>93.70</v>
      </c>
      <c r="Q16" s="6">
        <f t="shared" si="1"/>
        <v>-9909895</v>
      </c>
      <c r="R16" s="6">
        <f t="shared" si="2"/>
        <v>-31416546.530000001</v>
      </c>
      <c r="S16" s="149">
        <f t="shared" si="3"/>
        <v>5725600</v>
      </c>
      <c r="T16" s="19">
        <f t="shared" si="3"/>
        <v>-2846000</v>
      </c>
    </row>
    <row r="17" spans="1:20" ht="12.75">
      <c r="A17" s="7">
        <v>312</v>
      </c>
      <c r="B17" s="8" t="s">
        <v>13</v>
      </c>
      <c r="C17" s="60">
        <v>16249617112</v>
      </c>
      <c r="D17" s="60">
        <v>18289544385</v>
      </c>
      <c r="E17" s="60">
        <v>18666332418</v>
      </c>
      <c r="F17" s="60">
        <v>16285816207</v>
      </c>
      <c r="G17" s="60">
        <v>16926635944.66</v>
      </c>
      <c r="H17" s="60">
        <v>19793711921.169998</v>
      </c>
      <c r="I17" s="6">
        <v>20728940027</v>
      </c>
      <c r="J17" s="6">
        <v>20967592264.669998</v>
      </c>
      <c r="K17" s="6">
        <v>21939509531.880001</v>
      </c>
      <c r="L17" s="48">
        <v>23273785753</v>
      </c>
      <c r="M17" s="48">
        <v>23027422111</v>
      </c>
      <c r="N17" s="48">
        <v>22818199677</v>
      </c>
      <c r="O17" s="48">
        <v>22925002582</v>
      </c>
      <c r="P17" s="425">
        <f t="shared" si="0"/>
        <v>98.90</v>
      </c>
      <c r="Q17" s="6">
        <f t="shared" si="1"/>
        <v>-246363642</v>
      </c>
      <c r="R17" s="6">
        <f t="shared" si="2"/>
        <v>1087912579.1199989</v>
      </c>
      <c r="S17" s="149">
        <f t="shared" si="3"/>
        <v>-209222434</v>
      </c>
      <c r="T17" s="19">
        <f t="shared" si="3"/>
        <v>106802905</v>
      </c>
    </row>
    <row r="18" spans="1:20" ht="12.75">
      <c r="A18" s="7">
        <v>313</v>
      </c>
      <c r="B18" s="8" t="s">
        <v>14</v>
      </c>
      <c r="C18" s="60">
        <v>478446144825</v>
      </c>
      <c r="D18" s="60">
        <v>490186098232</v>
      </c>
      <c r="E18" s="60">
        <v>500623955327</v>
      </c>
      <c r="F18" s="60">
        <v>509536270018</v>
      </c>
      <c r="G18" s="60">
        <v>522240387019.13</v>
      </c>
      <c r="H18" s="60">
        <v>530704513240.34998</v>
      </c>
      <c r="I18" s="6">
        <v>554277188607</v>
      </c>
      <c r="J18" s="6">
        <v>551801301446.17004</v>
      </c>
      <c r="K18" s="6">
        <v>583523509393.87</v>
      </c>
      <c r="L18" s="6">
        <v>627442154988</v>
      </c>
      <c r="M18" s="48">
        <v>676468238026</v>
      </c>
      <c r="N18" s="48">
        <v>706126454916</v>
      </c>
      <c r="O18" s="48">
        <v>726766835074</v>
      </c>
      <c r="P18" s="425">
        <f t="shared" si="0"/>
        <v>107.80</v>
      </c>
      <c r="Q18" s="6">
        <f t="shared" si="1"/>
        <v>49026083038</v>
      </c>
      <c r="R18" s="6">
        <f t="shared" si="2"/>
        <v>92944728632.130005</v>
      </c>
      <c r="S18" s="149">
        <f t="shared" si="3"/>
        <v>29658216890</v>
      </c>
      <c r="T18" s="19">
        <f t="shared" si="3"/>
        <v>20640380158</v>
      </c>
    </row>
    <row r="19" spans="1:20" ht="12.75">
      <c r="A19" s="7">
        <v>314</v>
      </c>
      <c r="B19" s="8" t="s">
        <v>15</v>
      </c>
      <c r="C19" s="60">
        <v>52437189895</v>
      </c>
      <c r="D19" s="60">
        <v>51986456353</v>
      </c>
      <c r="E19" s="60">
        <v>52839807455</v>
      </c>
      <c r="F19" s="60">
        <v>54309686859</v>
      </c>
      <c r="G19" s="60">
        <v>57336265815.32</v>
      </c>
      <c r="H19" s="60">
        <v>60333900673.580002</v>
      </c>
      <c r="I19" s="6">
        <v>62644060414</v>
      </c>
      <c r="J19" s="6">
        <v>65765353856.540001</v>
      </c>
      <c r="K19" s="6">
        <v>73419098678.029999</v>
      </c>
      <c r="L19" s="6">
        <v>76086680395</v>
      </c>
      <c r="M19" s="48">
        <v>76672132668</v>
      </c>
      <c r="N19" s="48">
        <v>76827391119</v>
      </c>
      <c r="O19" s="48">
        <v>76189066671</v>
      </c>
      <c r="P19" s="425">
        <f t="shared" si="0"/>
        <v>100.80</v>
      </c>
      <c r="Q19" s="6">
        <f t="shared" si="1"/>
        <v>585452273</v>
      </c>
      <c r="R19" s="6">
        <f t="shared" si="2"/>
        <v>3253033989.9700012</v>
      </c>
      <c r="S19" s="149">
        <f t="shared" si="3"/>
        <v>155258451</v>
      </c>
      <c r="T19" s="19">
        <f t="shared" si="3"/>
        <v>-638324448</v>
      </c>
    </row>
    <row r="20" spans="1:20" ht="12.75">
      <c r="A20" s="7">
        <v>315</v>
      </c>
      <c r="B20" s="8" t="s">
        <v>16</v>
      </c>
      <c r="C20" s="60">
        <v>3415718238</v>
      </c>
      <c r="D20" s="60">
        <v>2830670070</v>
      </c>
      <c r="E20" s="60">
        <v>2748732602</v>
      </c>
      <c r="F20" s="60">
        <v>3543563355</v>
      </c>
      <c r="G20" s="60">
        <v>3919765467.7199998</v>
      </c>
      <c r="H20" s="60">
        <v>4339451369.0500002</v>
      </c>
      <c r="I20" s="6">
        <v>6393324723</v>
      </c>
      <c r="J20" s="6">
        <v>5123914430.2200003</v>
      </c>
      <c r="K20" s="6">
        <v>5394020588.9300003</v>
      </c>
      <c r="L20" s="6">
        <v>6263049143</v>
      </c>
      <c r="M20" s="6">
        <v>6183334303</v>
      </c>
      <c r="N20" s="48">
        <v>5191199693</v>
      </c>
      <c r="O20" s="48">
        <v>5191199693</v>
      </c>
      <c r="P20" s="425">
        <f t="shared" si="0"/>
        <v>98.70</v>
      </c>
      <c r="Q20" s="6">
        <f t="shared" si="1"/>
        <v>-79714840</v>
      </c>
      <c r="R20" s="6">
        <f t="shared" si="2"/>
        <v>789313714.06999969</v>
      </c>
      <c r="S20" s="149">
        <f t="shared" si="3"/>
        <v>-992134610</v>
      </c>
      <c r="T20" s="19">
        <f t="shared" si="3"/>
        <v>0</v>
      </c>
    </row>
    <row r="21" spans="1:20" ht="12.75">
      <c r="A21" s="7">
        <v>317</v>
      </c>
      <c r="B21" s="8" t="s">
        <v>17</v>
      </c>
      <c r="C21" s="60">
        <v>6117182837</v>
      </c>
      <c r="D21" s="60">
        <v>3933290095</v>
      </c>
      <c r="E21" s="60">
        <v>3315011437</v>
      </c>
      <c r="F21" s="60">
        <v>3004637595</v>
      </c>
      <c r="G21" s="60">
        <v>3329685982.79</v>
      </c>
      <c r="H21" s="60">
        <v>3324441846.3299999</v>
      </c>
      <c r="I21" s="6">
        <v>4729075880</v>
      </c>
      <c r="J21" s="6">
        <v>3272958269.3800001</v>
      </c>
      <c r="K21" s="6">
        <v>4018259704.6999998</v>
      </c>
      <c r="L21" s="6">
        <v>4920733029</v>
      </c>
      <c r="M21" s="6">
        <v>4550663032</v>
      </c>
      <c r="N21" s="48">
        <v>3548863032</v>
      </c>
      <c r="O21" s="48">
        <v>3548863032</v>
      </c>
      <c r="P21" s="425">
        <f t="shared" si="0"/>
        <v>92.50</v>
      </c>
      <c r="Q21" s="6">
        <f t="shared" si="1"/>
        <v>-370069997</v>
      </c>
      <c r="R21" s="6">
        <f t="shared" si="2"/>
        <v>532403327.30000019</v>
      </c>
      <c r="S21" s="149">
        <f t="shared" si="3"/>
        <v>-1001800000</v>
      </c>
      <c r="T21" s="19">
        <f t="shared" si="3"/>
        <v>0</v>
      </c>
    </row>
    <row r="22" spans="1:20" ht="12.75">
      <c r="A22" s="7">
        <v>321</v>
      </c>
      <c r="B22" s="8" t="s">
        <v>18</v>
      </c>
      <c r="C22" s="60">
        <v>2428182882</v>
      </c>
      <c r="D22" s="60">
        <v>2960552435</v>
      </c>
      <c r="E22" s="60">
        <v>3231735069</v>
      </c>
      <c r="F22" s="60">
        <v>3425016820</v>
      </c>
      <c r="G22" s="60">
        <v>3642304285.4899998</v>
      </c>
      <c r="H22" s="60">
        <v>3927443927.96</v>
      </c>
      <c r="I22" s="6">
        <v>4257427000</v>
      </c>
      <c r="J22" s="6">
        <v>4107793016.3400002</v>
      </c>
      <c r="K22" s="6">
        <v>4048479235.7199998</v>
      </c>
      <c r="L22" s="6">
        <v>4390784794</v>
      </c>
      <c r="M22" s="6">
        <v>4360546000</v>
      </c>
      <c r="N22" s="48">
        <v>4330546000</v>
      </c>
      <c r="O22" s="48">
        <v>4675711386</v>
      </c>
      <c r="P22" s="425">
        <f t="shared" si="0"/>
        <v>99.30</v>
      </c>
      <c r="Q22" s="6">
        <f t="shared" si="1"/>
        <v>-30238794</v>
      </c>
      <c r="R22" s="6">
        <f t="shared" si="2"/>
        <v>312066764.28000021</v>
      </c>
      <c r="S22" s="149">
        <f t="shared" si="3"/>
        <v>-30000000</v>
      </c>
      <c r="T22" s="19">
        <f t="shared" si="3"/>
        <v>345165386</v>
      </c>
    </row>
    <row r="23" spans="1:20" ht="12.75">
      <c r="A23" s="7">
        <v>322</v>
      </c>
      <c r="B23" s="8" t="s">
        <v>19</v>
      </c>
      <c r="C23" s="60">
        <v>18834815354</v>
      </c>
      <c r="D23" s="60">
        <v>21507177597</v>
      </c>
      <c r="E23" s="60">
        <v>20130380350</v>
      </c>
      <c r="F23" s="60">
        <v>21529880883</v>
      </c>
      <c r="G23" s="60">
        <v>21526098297.860001</v>
      </c>
      <c r="H23" s="60">
        <v>26151403185.43</v>
      </c>
      <c r="I23" s="6">
        <v>33425683976</v>
      </c>
      <c r="J23" s="6">
        <v>32747558625.07</v>
      </c>
      <c r="K23" s="6">
        <v>32832178604.049999</v>
      </c>
      <c r="L23" s="6">
        <v>35578098113</v>
      </c>
      <c r="M23" s="6">
        <v>37101935756</v>
      </c>
      <c r="N23" s="48">
        <v>36492681815</v>
      </c>
      <c r="O23" s="48">
        <v>35853835093</v>
      </c>
      <c r="P23" s="425">
        <f t="shared" si="0"/>
        <v>104.30</v>
      </c>
      <c r="Q23" s="6">
        <f t="shared" si="1"/>
        <v>1523837643</v>
      </c>
      <c r="R23" s="6">
        <f t="shared" si="2"/>
        <v>4269757151.9500008</v>
      </c>
      <c r="S23" s="149">
        <f t="shared" si="3"/>
        <v>-609253941</v>
      </c>
      <c r="T23" s="19">
        <f t="shared" si="3"/>
        <v>-638846722</v>
      </c>
    </row>
    <row r="24" spans="1:20" ht="12.75">
      <c r="A24" s="7">
        <v>327</v>
      </c>
      <c r="B24" s="8" t="s">
        <v>20</v>
      </c>
      <c r="C24" s="60">
        <v>26659345152</v>
      </c>
      <c r="D24" s="60">
        <v>26215681482</v>
      </c>
      <c r="E24" s="60">
        <v>29004731790</v>
      </c>
      <c r="F24" s="60">
        <v>30280002744</v>
      </c>
      <c r="G24" s="60">
        <v>29117266801.970001</v>
      </c>
      <c r="H24" s="60">
        <v>37026538801.510002</v>
      </c>
      <c r="I24" s="6">
        <v>33177737815</v>
      </c>
      <c r="J24" s="6">
        <v>39512443255.529999</v>
      </c>
      <c r="K24" s="6">
        <v>37724866774.18</v>
      </c>
      <c r="L24" s="6">
        <v>53685691420</v>
      </c>
      <c r="M24" s="6">
        <v>48261458796</v>
      </c>
      <c r="N24" s="48">
        <v>46438689774</v>
      </c>
      <c r="O24" s="48">
        <v>46473303121</v>
      </c>
      <c r="P24" s="425">
        <f t="shared" si="0"/>
        <v>89.90</v>
      </c>
      <c r="Q24" s="6">
        <f t="shared" si="1"/>
        <v>-5424232624</v>
      </c>
      <c r="R24" s="6">
        <f t="shared" si="2"/>
        <v>10536592021.82</v>
      </c>
      <c r="S24" s="149">
        <f t="shared" si="3"/>
        <v>-1822769022</v>
      </c>
      <c r="T24" s="19">
        <f t="shared" si="3"/>
        <v>34613347</v>
      </c>
    </row>
    <row r="25" spans="1:20" ht="12.75">
      <c r="A25" s="7">
        <v>328</v>
      </c>
      <c r="B25" s="8" t="s">
        <v>21</v>
      </c>
      <c r="C25" s="60">
        <v>575483743</v>
      </c>
      <c r="D25" s="60">
        <v>537390564</v>
      </c>
      <c r="E25" s="60">
        <v>582444123</v>
      </c>
      <c r="F25" s="60">
        <v>619751021</v>
      </c>
      <c r="G25" s="60">
        <v>666711321.21000004</v>
      </c>
      <c r="H25" s="60">
        <v>709322003.51999998</v>
      </c>
      <c r="I25" s="6">
        <v>1406383380</v>
      </c>
      <c r="J25" s="6">
        <v>643823529.23000002</v>
      </c>
      <c r="K25" s="6">
        <v>2488500877.6900001</v>
      </c>
      <c r="L25" s="6">
        <v>1459351086</v>
      </c>
      <c r="M25" s="6">
        <v>1496454731</v>
      </c>
      <c r="N25" s="6">
        <v>1196454731</v>
      </c>
      <c r="O25" s="6">
        <v>1211005731</v>
      </c>
      <c r="P25" s="425">
        <f t="shared" si="0"/>
        <v>102.50</v>
      </c>
      <c r="Q25" s="6">
        <f t="shared" si="1"/>
        <v>37103645</v>
      </c>
      <c r="R25" s="6">
        <f t="shared" si="2"/>
        <v>-992046146.69000006</v>
      </c>
      <c r="S25" s="149">
        <f t="shared" si="3"/>
        <v>-300000000</v>
      </c>
      <c r="T25" s="19">
        <f t="shared" si="3"/>
        <v>14551000</v>
      </c>
    </row>
    <row r="26" spans="1:20" ht="12.75">
      <c r="A26" s="7">
        <v>329</v>
      </c>
      <c r="B26" s="8" t="s">
        <v>22</v>
      </c>
      <c r="C26" s="60">
        <v>18741240670</v>
      </c>
      <c r="D26" s="60">
        <v>19415712960</v>
      </c>
      <c r="E26" s="60">
        <v>19023857023</v>
      </c>
      <c r="F26" s="60">
        <v>16430222854</v>
      </c>
      <c r="G26" s="60">
        <v>19136918720.48</v>
      </c>
      <c r="H26" s="60">
        <v>22290780598.41</v>
      </c>
      <c r="I26" s="243">
        <v>20241346243</v>
      </c>
      <c r="J26" s="6">
        <f>25197772288.78-1032180167</f>
        <v>24165592121.779999</v>
      </c>
      <c r="K26" s="6">
        <f>28009814687-1061491432</f>
        <v>26948323255</v>
      </c>
      <c r="L26" s="6">
        <v>24407650157</v>
      </c>
      <c r="M26" s="6">
        <v>23028379250</v>
      </c>
      <c r="N26" s="6">
        <v>22045312250</v>
      </c>
      <c r="O26" s="6">
        <v>22045312250</v>
      </c>
      <c r="P26" s="425">
        <f t="shared" si="0"/>
        <v>94.30</v>
      </c>
      <c r="Q26" s="6">
        <f t="shared" si="1"/>
        <v>-1379270907</v>
      </c>
      <c r="R26" s="6">
        <f t="shared" si="2"/>
        <v>-3919944005</v>
      </c>
      <c r="S26" s="149">
        <f t="shared" si="3"/>
        <v>-983067000</v>
      </c>
      <c r="T26" s="19">
        <f t="shared" si="3"/>
        <v>0</v>
      </c>
    </row>
    <row r="27" spans="1:20" ht="12.75">
      <c r="A27" s="7">
        <v>333</v>
      </c>
      <c r="B27" s="8" t="s">
        <v>23</v>
      </c>
      <c r="C27" s="60">
        <v>121383581994</v>
      </c>
      <c r="D27" s="60">
        <v>120114687370</v>
      </c>
      <c r="E27" s="60">
        <v>121481661944</v>
      </c>
      <c r="F27" s="60">
        <v>124801808606</v>
      </c>
      <c r="G27" s="60">
        <v>130374440357.38</v>
      </c>
      <c r="H27" s="60">
        <v>136799301352.91</v>
      </c>
      <c r="I27" s="6">
        <v>147970768654</v>
      </c>
      <c r="J27" s="6">
        <v>149246611965.97</v>
      </c>
      <c r="K27" s="6">
        <v>170088678723.62</v>
      </c>
      <c r="L27" s="6">
        <v>195700679620</v>
      </c>
      <c r="M27" s="6">
        <v>211709362047</v>
      </c>
      <c r="N27" s="6">
        <v>224110301219</v>
      </c>
      <c r="O27" s="6">
        <v>224914926219</v>
      </c>
      <c r="P27" s="425">
        <f t="shared" si="0"/>
        <v>108.20</v>
      </c>
      <c r="Q27" s="6">
        <f t="shared" si="1"/>
        <v>16008682427</v>
      </c>
      <c r="R27" s="6">
        <f t="shared" si="2"/>
        <v>41620683323.380005</v>
      </c>
      <c r="S27" s="149">
        <f t="shared" si="3"/>
        <v>12400939172</v>
      </c>
      <c r="T27" s="19">
        <f t="shared" si="3"/>
        <v>804625000</v>
      </c>
    </row>
    <row r="28" spans="1:20" ht="12.75">
      <c r="A28" s="7">
        <v>334</v>
      </c>
      <c r="B28" s="8" t="s">
        <v>24</v>
      </c>
      <c r="C28" s="60">
        <v>7278539051</v>
      </c>
      <c r="D28" s="60">
        <v>7550972505</v>
      </c>
      <c r="E28" s="60">
        <v>9424092136</v>
      </c>
      <c r="F28" s="60">
        <v>10261009486</v>
      </c>
      <c r="G28" s="60">
        <v>11018465250.879999</v>
      </c>
      <c r="H28" s="60">
        <v>11670513722.74</v>
      </c>
      <c r="I28" s="6">
        <v>12257151031</v>
      </c>
      <c r="J28" s="6">
        <v>12065951144.26</v>
      </c>
      <c r="K28" s="6">
        <v>13915783493.9</v>
      </c>
      <c r="L28" s="6">
        <v>14318304896</v>
      </c>
      <c r="M28" s="6">
        <v>14280217092</v>
      </c>
      <c r="N28" s="6">
        <v>13644171990</v>
      </c>
      <c r="O28" s="6">
        <v>13600359848</v>
      </c>
      <c r="P28" s="425">
        <f t="shared" si="0"/>
        <v>99.70</v>
      </c>
      <c r="Q28" s="6">
        <f t="shared" si="1"/>
        <v>-38087804</v>
      </c>
      <c r="R28" s="6">
        <f t="shared" si="2"/>
        <v>364433598.10000038</v>
      </c>
      <c r="S28" s="149">
        <f t="shared" si="3"/>
        <v>-636045102</v>
      </c>
      <c r="T28" s="19">
        <f t="shared" si="3"/>
        <v>-43812142</v>
      </c>
    </row>
    <row r="29" spans="1:20" ht="12.75">
      <c r="A29" s="7">
        <v>335</v>
      </c>
      <c r="B29" s="8" t="s">
        <v>25</v>
      </c>
      <c r="C29" s="60">
        <v>6196163412</v>
      </c>
      <c r="D29" s="60">
        <v>5435159158</v>
      </c>
      <c r="E29" s="60">
        <v>6577860970</v>
      </c>
      <c r="F29" s="60">
        <v>5889995353</v>
      </c>
      <c r="G29" s="60">
        <v>6069508320.5100002</v>
      </c>
      <c r="H29" s="60">
        <v>7172746650.5600004</v>
      </c>
      <c r="I29" s="6">
        <v>6235621404</v>
      </c>
      <c r="J29" s="6">
        <v>7511046624.2200003</v>
      </c>
      <c r="K29" s="6">
        <v>7518930417.5</v>
      </c>
      <c r="L29" s="6">
        <v>7317450479</v>
      </c>
      <c r="M29" s="6">
        <v>7293639913</v>
      </c>
      <c r="N29" s="6">
        <v>7498540314</v>
      </c>
      <c r="O29" s="6">
        <v>7966740314</v>
      </c>
      <c r="P29" s="425">
        <f t="shared" si="0"/>
        <v>99.70</v>
      </c>
      <c r="Q29" s="6">
        <f t="shared" si="1"/>
        <v>-23810566</v>
      </c>
      <c r="R29" s="6">
        <f t="shared" si="2"/>
        <v>-225290504.5</v>
      </c>
      <c r="S29" s="149">
        <f t="shared" si="3"/>
        <v>204900401</v>
      </c>
      <c r="T29" s="19">
        <f t="shared" si="3"/>
        <v>468200000</v>
      </c>
    </row>
    <row r="30" spans="1:20" ht="12.75">
      <c r="A30" s="7">
        <v>336</v>
      </c>
      <c r="B30" s="8" t="s">
        <v>26</v>
      </c>
      <c r="C30" s="60">
        <v>20248183641</v>
      </c>
      <c r="D30" s="60">
        <v>20569918694</v>
      </c>
      <c r="E30" s="60">
        <v>21193501934</v>
      </c>
      <c r="F30" s="60">
        <v>21627004646</v>
      </c>
      <c r="G30" s="60">
        <v>24291080484.040001</v>
      </c>
      <c r="H30" s="60">
        <v>24403690729.02</v>
      </c>
      <c r="I30" s="6">
        <v>26069169102</v>
      </c>
      <c r="J30" s="6">
        <v>26116136595.09</v>
      </c>
      <c r="K30" s="6">
        <v>28218975237.290001</v>
      </c>
      <c r="L30" s="6">
        <v>30253797016</v>
      </c>
      <c r="M30" s="6">
        <v>30893693340</v>
      </c>
      <c r="N30" s="6">
        <v>31291465058</v>
      </c>
      <c r="O30" s="6">
        <v>31293092258</v>
      </c>
      <c r="P30" s="425">
        <f t="shared" si="0"/>
        <v>102.10</v>
      </c>
      <c r="Q30" s="6">
        <f t="shared" si="1"/>
        <v>639896324</v>
      </c>
      <c r="R30" s="6">
        <f t="shared" si="2"/>
        <v>2674718102.7099991</v>
      </c>
      <c r="S30" s="149">
        <f t="shared" si="3"/>
        <v>397771718</v>
      </c>
      <c r="T30" s="19">
        <f t="shared" si="3"/>
        <v>1627200</v>
      </c>
    </row>
    <row r="31" spans="1:20" ht="12.75">
      <c r="A31" s="7">
        <v>343</v>
      </c>
      <c r="B31" s="8" t="s">
        <v>27</v>
      </c>
      <c r="C31" s="60">
        <v>101314583</v>
      </c>
      <c r="D31" s="60">
        <v>114587184</v>
      </c>
      <c r="E31" s="60">
        <v>127126446</v>
      </c>
      <c r="F31" s="60">
        <v>124573913</v>
      </c>
      <c r="G31" s="60">
        <v>143785813.58000001</v>
      </c>
      <c r="H31" s="60">
        <v>144376480.27000001</v>
      </c>
      <c r="I31" s="6">
        <v>159684951</v>
      </c>
      <c r="J31" s="6">
        <v>153794880.28999999</v>
      </c>
      <c r="K31" s="6">
        <v>158534197.59</v>
      </c>
      <c r="L31" s="6">
        <v>167195335</v>
      </c>
      <c r="M31" s="6">
        <v>166081928</v>
      </c>
      <c r="N31" s="6">
        <v>166081928</v>
      </c>
      <c r="O31" s="6">
        <v>166081928</v>
      </c>
      <c r="P31" s="425">
        <f t="shared" si="0"/>
        <v>99.30</v>
      </c>
      <c r="Q31" s="6">
        <f t="shared" si="1"/>
        <v>-1113407</v>
      </c>
      <c r="R31" s="6">
        <f t="shared" si="2"/>
        <v>7547730.4099999964</v>
      </c>
      <c r="S31" s="149">
        <f t="shared" si="3"/>
        <v>0</v>
      </c>
      <c r="T31" s="19">
        <f t="shared" si="3"/>
        <v>0</v>
      </c>
    </row>
    <row r="32" spans="1:20" ht="12.75">
      <c r="A32" s="7">
        <v>344</v>
      </c>
      <c r="B32" s="8" t="s">
        <v>28</v>
      </c>
      <c r="C32" s="60">
        <v>159850521</v>
      </c>
      <c r="D32" s="60">
        <v>154679779</v>
      </c>
      <c r="E32" s="60">
        <v>157319616</v>
      </c>
      <c r="F32" s="60">
        <v>162711684</v>
      </c>
      <c r="G32" s="60">
        <v>164983914.19999999</v>
      </c>
      <c r="H32" s="60">
        <v>166793195.62</v>
      </c>
      <c r="I32" s="6">
        <v>182113179</v>
      </c>
      <c r="J32" s="6">
        <v>194483329.56</v>
      </c>
      <c r="K32" s="6">
        <v>191307496.63999999</v>
      </c>
      <c r="L32" s="6">
        <v>190675520</v>
      </c>
      <c r="M32" s="6">
        <v>200032979</v>
      </c>
      <c r="N32" s="6">
        <v>200032979</v>
      </c>
      <c r="O32" s="6">
        <v>200032979</v>
      </c>
      <c r="P32" s="425">
        <f t="shared" si="0"/>
        <v>104.90</v>
      </c>
      <c r="Q32" s="6">
        <f t="shared" si="1"/>
        <v>9357459</v>
      </c>
      <c r="R32" s="6">
        <f t="shared" si="2"/>
        <v>8725482.3600000143</v>
      </c>
      <c r="S32" s="149">
        <f t="shared" si="3"/>
        <v>0</v>
      </c>
      <c r="T32" s="19">
        <f t="shared" si="3"/>
        <v>0</v>
      </c>
    </row>
    <row r="33" spans="1:20" ht="12.75">
      <c r="A33" s="7">
        <v>345</v>
      </c>
      <c r="B33" s="8" t="s">
        <v>29</v>
      </c>
      <c r="C33" s="60">
        <v>2296769927</v>
      </c>
      <c r="D33" s="60">
        <v>1004539718</v>
      </c>
      <c r="E33" s="60">
        <v>974990163</v>
      </c>
      <c r="F33" s="60">
        <v>1017147075</v>
      </c>
      <c r="G33" s="60">
        <v>900115378.82000005</v>
      </c>
      <c r="H33" s="209">
        <v>936769775.86000001</v>
      </c>
      <c r="I33" s="6">
        <v>960008704</v>
      </c>
      <c r="J33" s="6">
        <v>1068603297.6</v>
      </c>
      <c r="K33" s="6">
        <v>1159122867.3</v>
      </c>
      <c r="L33" s="6">
        <v>1295853306</v>
      </c>
      <c r="M33" s="6">
        <v>1041142642</v>
      </c>
      <c r="N33" s="6">
        <v>1079592642</v>
      </c>
      <c r="O33" s="6">
        <v>1079592642</v>
      </c>
      <c r="P33" s="425">
        <f t="shared" si="0"/>
        <v>80.30</v>
      </c>
      <c r="Q33" s="6">
        <f t="shared" si="1"/>
        <v>-254710664</v>
      </c>
      <c r="R33" s="6">
        <f t="shared" si="2"/>
        <v>-117980225.29999995</v>
      </c>
      <c r="S33" s="149">
        <f t="shared" si="3"/>
        <v>38450000</v>
      </c>
      <c r="T33" s="19">
        <f t="shared" si="3"/>
        <v>0</v>
      </c>
    </row>
    <row r="34" spans="1:20" ht="12.75">
      <c r="A34" s="7">
        <v>346</v>
      </c>
      <c r="B34" s="8" t="s">
        <v>30</v>
      </c>
      <c r="C34" s="60">
        <v>2735385950</v>
      </c>
      <c r="D34" s="60">
        <v>2642764730</v>
      </c>
      <c r="E34" s="60">
        <v>2705728880</v>
      </c>
      <c r="F34" s="60">
        <v>2752118385</v>
      </c>
      <c r="G34" s="60">
        <v>2835708156.27</v>
      </c>
      <c r="H34" s="209">
        <v>2981464536.0599999</v>
      </c>
      <c r="I34" s="6">
        <v>3048778094</v>
      </c>
      <c r="J34" s="6">
        <v>3108287922.3699999</v>
      </c>
      <c r="K34" s="6">
        <v>3317655304.54</v>
      </c>
      <c r="L34" s="6">
        <v>3500142710</v>
      </c>
      <c r="M34" s="6">
        <v>3459908986</v>
      </c>
      <c r="N34" s="6">
        <v>3419908986</v>
      </c>
      <c r="O34" s="6">
        <v>3419908986</v>
      </c>
      <c r="P34" s="425">
        <f t="shared" si="0"/>
        <v>98.90</v>
      </c>
      <c r="Q34" s="6">
        <f t="shared" si="1"/>
        <v>-40233724</v>
      </c>
      <c r="R34" s="6">
        <f t="shared" si="2"/>
        <v>142253681.46000004</v>
      </c>
      <c r="S34" s="149">
        <f t="shared" si="3"/>
        <v>-40000000</v>
      </c>
      <c r="T34" s="19">
        <f t="shared" si="3"/>
        <v>0</v>
      </c>
    </row>
    <row r="35" spans="1:20" ht="12.75">
      <c r="A35" s="7">
        <v>348</v>
      </c>
      <c r="B35" s="8" t="s">
        <v>31</v>
      </c>
      <c r="C35" s="60">
        <v>125190679</v>
      </c>
      <c r="D35" s="60">
        <v>124980868</v>
      </c>
      <c r="E35" s="60">
        <v>123173815</v>
      </c>
      <c r="F35" s="60">
        <v>124163102</v>
      </c>
      <c r="G35" s="60">
        <v>130768903.14</v>
      </c>
      <c r="H35" s="209">
        <v>154347121.03999999</v>
      </c>
      <c r="I35" s="6">
        <v>155208058</v>
      </c>
      <c r="J35" s="6">
        <v>152178041.63</v>
      </c>
      <c r="K35" s="6">
        <v>159732313.28999999</v>
      </c>
      <c r="L35" s="6">
        <v>174269761</v>
      </c>
      <c r="M35" s="6">
        <v>166318551</v>
      </c>
      <c r="N35" s="6">
        <v>161118551</v>
      </c>
      <c r="O35" s="6">
        <v>161118551</v>
      </c>
      <c r="P35" s="425">
        <f t="shared" si="0"/>
        <v>95.40</v>
      </c>
      <c r="Q35" s="6">
        <f t="shared" si="1"/>
        <v>-7951210</v>
      </c>
      <c r="R35" s="6">
        <f t="shared" si="2"/>
        <v>6586237.7100000083</v>
      </c>
      <c r="S35" s="149">
        <f t="shared" si="3"/>
        <v>-5200000</v>
      </c>
      <c r="T35" s="19">
        <f t="shared" si="3"/>
        <v>0</v>
      </c>
    </row>
    <row r="36" spans="1:20" ht="12.75">
      <c r="A36" s="7">
        <v>349</v>
      </c>
      <c r="B36" s="8" t="s">
        <v>32</v>
      </c>
      <c r="C36" s="60">
        <v>111290593</v>
      </c>
      <c r="D36" s="60">
        <v>168384416</v>
      </c>
      <c r="E36" s="60">
        <v>177124950</v>
      </c>
      <c r="F36" s="60">
        <v>194074123</v>
      </c>
      <c r="G36" s="60">
        <v>217981962.47999999</v>
      </c>
      <c r="H36" s="209">
        <v>226432618.90000001</v>
      </c>
      <c r="I36" s="6">
        <v>285558570</v>
      </c>
      <c r="J36" s="6">
        <v>286379477.62</v>
      </c>
      <c r="K36" s="6">
        <v>294476529.86000001</v>
      </c>
      <c r="L36" s="6">
        <v>295403397</v>
      </c>
      <c r="M36" s="6">
        <v>299259288</v>
      </c>
      <c r="N36" s="6">
        <v>299259288</v>
      </c>
      <c r="O36" s="6">
        <v>299259288</v>
      </c>
      <c r="P36" s="425">
        <f t="shared" si="0"/>
        <v>101.30</v>
      </c>
      <c r="Q36" s="6">
        <f t="shared" si="1"/>
        <v>3855891</v>
      </c>
      <c r="R36" s="6">
        <f t="shared" si="2"/>
        <v>4782758.1399999857</v>
      </c>
      <c r="S36" s="149">
        <f t="shared" si="3"/>
        <v>0</v>
      </c>
      <c r="T36" s="19">
        <f t="shared" si="3"/>
        <v>0</v>
      </c>
    </row>
    <row r="37" spans="1:20" ht="12.75">
      <c r="A37" s="7">
        <v>353</v>
      </c>
      <c r="B37" s="8" t="s">
        <v>33</v>
      </c>
      <c r="C37" s="60">
        <v>178661016</v>
      </c>
      <c r="D37" s="60">
        <v>230012104</v>
      </c>
      <c r="E37" s="60">
        <v>207851383</v>
      </c>
      <c r="F37" s="60">
        <v>202065344</v>
      </c>
      <c r="G37" s="60">
        <v>197158597.47999999</v>
      </c>
      <c r="H37" s="209">
        <v>203474896.02000001</v>
      </c>
      <c r="I37" s="6">
        <v>253766753</v>
      </c>
      <c r="J37" s="6">
        <v>218708564.05000001</v>
      </c>
      <c r="K37" s="6">
        <v>241891557.33000001</v>
      </c>
      <c r="L37" s="6">
        <v>254126162</v>
      </c>
      <c r="M37" s="6">
        <v>255896699</v>
      </c>
      <c r="N37" s="6">
        <v>255896699</v>
      </c>
      <c r="O37" s="6">
        <v>255896699</v>
      </c>
      <c r="P37" s="425">
        <f t="shared" si="0"/>
        <v>100.70</v>
      </c>
      <c r="Q37" s="6">
        <f t="shared" si="1"/>
        <v>1770537</v>
      </c>
      <c r="R37" s="6">
        <f t="shared" si="2"/>
        <v>14005141.669999987</v>
      </c>
      <c r="S37" s="149">
        <f t="shared" si="3"/>
        <v>0</v>
      </c>
      <c r="T37" s="19">
        <f t="shared" si="3"/>
        <v>0</v>
      </c>
    </row>
    <row r="38" spans="1:20" ht="12.75">
      <c r="A38" s="7">
        <v>355</v>
      </c>
      <c r="B38" s="8" t="s">
        <v>34</v>
      </c>
      <c r="C38" s="60">
        <v>151213335</v>
      </c>
      <c r="D38" s="60">
        <v>150211164</v>
      </c>
      <c r="E38" s="60">
        <v>142123460</v>
      </c>
      <c r="F38" s="60">
        <v>146872652</v>
      </c>
      <c r="G38" s="60">
        <v>158623000.87</v>
      </c>
      <c r="H38" s="209">
        <v>173011126.91999999</v>
      </c>
      <c r="I38" s="6">
        <v>281205636</v>
      </c>
      <c r="J38" s="6">
        <v>176143149.30000001</v>
      </c>
      <c r="K38" s="6">
        <v>243374743.66</v>
      </c>
      <c r="L38" s="6">
        <v>234531913</v>
      </c>
      <c r="M38" s="6">
        <v>253610387</v>
      </c>
      <c r="N38" s="6">
        <v>240610387</v>
      </c>
      <c r="O38" s="6">
        <v>180610387</v>
      </c>
      <c r="P38" s="425">
        <f t="shared" si="0"/>
        <v>108.10</v>
      </c>
      <c r="Q38" s="6">
        <f t="shared" si="1"/>
        <v>19078474</v>
      </c>
      <c r="R38" s="6">
        <f t="shared" si="2"/>
        <v>10235643.340000004</v>
      </c>
      <c r="S38" s="149">
        <f t="shared" si="3"/>
        <v>-13000000</v>
      </c>
      <c r="T38" s="19">
        <f t="shared" si="3"/>
        <v>-60000000</v>
      </c>
    </row>
    <row r="39" spans="1:20" ht="12.75">
      <c r="A39" s="7">
        <v>358</v>
      </c>
      <c r="B39" s="8" t="s">
        <v>35</v>
      </c>
      <c r="C39" s="60">
        <v>138225116</v>
      </c>
      <c r="D39" s="60">
        <v>131019012</v>
      </c>
      <c r="E39" s="60">
        <v>137310483</v>
      </c>
      <c r="F39" s="60">
        <v>155074670</v>
      </c>
      <c r="G39" s="60">
        <v>178511690.72999999</v>
      </c>
      <c r="H39" s="209">
        <v>172050755.53999999</v>
      </c>
      <c r="I39" s="6">
        <v>242565156</v>
      </c>
      <c r="J39" s="6">
        <v>238379249.5</v>
      </c>
      <c r="K39" s="6">
        <v>314596850.56999999</v>
      </c>
      <c r="L39" s="6">
        <v>231559248</v>
      </c>
      <c r="M39" s="6">
        <v>233195735</v>
      </c>
      <c r="N39" s="6">
        <v>199895735</v>
      </c>
      <c r="O39" s="6">
        <v>199895735</v>
      </c>
      <c r="P39" s="425">
        <f t="shared" si="0"/>
        <v>100.70</v>
      </c>
      <c r="Q39" s="6">
        <f t="shared" si="1"/>
        <v>1636487</v>
      </c>
      <c r="R39" s="6">
        <f t="shared" si="2"/>
        <v>-81401115.569999993</v>
      </c>
      <c r="S39" s="149">
        <f t="shared" si="3"/>
        <v>-33300000</v>
      </c>
      <c r="T39" s="19">
        <f t="shared" si="3"/>
        <v>0</v>
      </c>
    </row>
    <row r="40" spans="1:20" ht="12.75">
      <c r="A40" s="7">
        <v>359</v>
      </c>
      <c r="B40" s="8" t="s">
        <v>139</v>
      </c>
      <c r="C40" s="60"/>
      <c r="D40" s="60"/>
      <c r="E40" s="60"/>
      <c r="F40" s="60"/>
      <c r="G40" s="60"/>
      <c r="H40" s="208"/>
      <c r="I40" s="6"/>
      <c r="J40" s="6"/>
      <c r="K40" s="6">
        <v>16726699.529999999</v>
      </c>
      <c r="L40" s="6">
        <v>25503936</v>
      </c>
      <c r="M40" s="6">
        <v>23669225</v>
      </c>
      <c r="N40" s="6">
        <v>23819225</v>
      </c>
      <c r="O40" s="6">
        <v>23819225</v>
      </c>
      <c r="P40" s="425">
        <f t="shared" si="0"/>
        <v>92.80</v>
      </c>
      <c r="Q40" s="6">
        <f t="shared" si="1"/>
        <v>-1834711</v>
      </c>
      <c r="R40" s="6">
        <f t="shared" si="2"/>
        <v>6942525.4700000007</v>
      </c>
      <c r="S40" s="149">
        <f t="shared" si="3"/>
        <v>150000</v>
      </c>
      <c r="T40" s="19">
        <f t="shared" si="3"/>
        <v>0</v>
      </c>
    </row>
    <row r="41" spans="1:20" ht="12.75">
      <c r="A41" s="7">
        <v>361</v>
      </c>
      <c r="B41" s="8" t="s">
        <v>36</v>
      </c>
      <c r="C41" s="60">
        <v>4874957258</v>
      </c>
      <c r="D41" s="60">
        <v>4673063618</v>
      </c>
      <c r="E41" s="60">
        <v>4455706082</v>
      </c>
      <c r="F41" s="60">
        <v>4452258267</v>
      </c>
      <c r="G41" s="60">
        <v>4693749105.6199999</v>
      </c>
      <c r="H41" s="209">
        <v>4777930160.1700001</v>
      </c>
      <c r="I41" s="6">
        <v>5133171000</v>
      </c>
      <c r="J41" s="6">
        <v>5231659778.6999998</v>
      </c>
      <c r="K41" s="6">
        <v>5619720168.2399998</v>
      </c>
      <c r="L41" s="6">
        <v>6022421793</v>
      </c>
      <c r="M41" s="6">
        <v>6512043000</v>
      </c>
      <c r="N41" s="6">
        <v>6585685230</v>
      </c>
      <c r="O41" s="6">
        <v>6585685230</v>
      </c>
      <c r="P41" s="425">
        <f t="shared" si="0"/>
        <v>108.10</v>
      </c>
      <c r="Q41" s="6">
        <f t="shared" si="1"/>
        <v>489621207</v>
      </c>
      <c r="R41" s="6">
        <f t="shared" si="2"/>
        <v>892322831.76000023</v>
      </c>
      <c r="S41" s="149">
        <f t="shared" si="3"/>
        <v>73642230</v>
      </c>
      <c r="T41" s="19">
        <f t="shared" si="3"/>
        <v>0</v>
      </c>
    </row>
    <row r="42" spans="1:20" ht="17.25" customHeight="1">
      <c r="A42" s="7">
        <v>362</v>
      </c>
      <c r="B42" s="8" t="s">
        <v>164</v>
      </c>
      <c r="C42" s="60"/>
      <c r="D42" s="60"/>
      <c r="E42" s="60"/>
      <c r="F42" s="60"/>
      <c r="G42" s="60"/>
      <c r="H42" s="209"/>
      <c r="I42" s="6"/>
      <c r="J42" s="6"/>
      <c r="K42" s="6"/>
      <c r="L42" s="48">
        <v>0</v>
      </c>
      <c r="M42" s="48">
        <v>0</v>
      </c>
      <c r="N42" s="48">
        <v>0</v>
      </c>
      <c r="O42" s="48">
        <v>0</v>
      </c>
      <c r="P42" s="425" t="str">
        <f t="shared" si="0"/>
        <v xml:space="preserve"> </v>
      </c>
      <c r="Q42" s="6">
        <f t="shared" si="1"/>
        <v>0</v>
      </c>
      <c r="R42" s="6">
        <f t="shared" si="2"/>
        <v>0</v>
      </c>
      <c r="S42" s="149">
        <f t="shared" si="3"/>
        <v>0</v>
      </c>
      <c r="T42" s="19">
        <f t="shared" si="3"/>
        <v>0</v>
      </c>
    </row>
    <row r="43" spans="1:20" ht="25.5">
      <c r="A43" s="7">
        <v>371</v>
      </c>
      <c r="B43" s="188" t="s">
        <v>140</v>
      </c>
      <c r="C43" s="60"/>
      <c r="D43" s="60"/>
      <c r="E43" s="60"/>
      <c r="F43" s="60"/>
      <c r="G43" s="60"/>
      <c r="H43" s="208"/>
      <c r="I43" s="6"/>
      <c r="J43" s="6">
        <v>15542666.23</v>
      </c>
      <c r="K43" s="6">
        <v>26676552.649999999</v>
      </c>
      <c r="L43" s="48">
        <v>34816619</v>
      </c>
      <c r="M43" s="48">
        <v>33921454</v>
      </c>
      <c r="N43" s="48">
        <v>33921454</v>
      </c>
      <c r="O43" s="48">
        <v>33921454</v>
      </c>
      <c r="P43" s="425">
        <f t="shared" si="0"/>
        <v>97.40</v>
      </c>
      <c r="Q43" s="6">
        <f t="shared" si="1"/>
        <v>-895165</v>
      </c>
      <c r="R43" s="6">
        <f t="shared" si="2"/>
        <v>7244901.3500000015</v>
      </c>
      <c r="S43" s="149">
        <f t="shared" si="3"/>
        <v>0</v>
      </c>
      <c r="T43" s="19">
        <f t="shared" si="3"/>
        <v>0</v>
      </c>
    </row>
    <row r="44" spans="1:20" ht="12.75">
      <c r="A44" s="7">
        <v>372</v>
      </c>
      <c r="B44" s="8" t="s">
        <v>37</v>
      </c>
      <c r="C44" s="60">
        <v>53103194</v>
      </c>
      <c r="D44" s="60">
        <v>52388563</v>
      </c>
      <c r="E44" s="60">
        <v>52356734</v>
      </c>
      <c r="F44" s="60">
        <v>53530107</v>
      </c>
      <c r="G44" s="60">
        <v>55788451.200000003</v>
      </c>
      <c r="H44" s="209">
        <v>57544526.359999999</v>
      </c>
      <c r="I44" s="6">
        <v>62250749</v>
      </c>
      <c r="J44" s="6">
        <v>59531405.600000001</v>
      </c>
      <c r="K44" s="6">
        <v>62964815.869999997</v>
      </c>
      <c r="L44" s="48">
        <v>68154789</v>
      </c>
      <c r="M44" s="48">
        <v>66443765</v>
      </c>
      <c r="N44" s="48">
        <v>66443765</v>
      </c>
      <c r="O44" s="48">
        <v>66443765</v>
      </c>
      <c r="P44" s="425">
        <f t="shared" si="0"/>
        <v>97.50</v>
      </c>
      <c r="Q44" s="6">
        <f t="shared" si="1"/>
        <v>-1711024</v>
      </c>
      <c r="R44" s="6">
        <f t="shared" si="2"/>
        <v>3478949.1300000027</v>
      </c>
      <c r="S44" s="149">
        <f t="shared" si="3"/>
        <v>0</v>
      </c>
      <c r="T44" s="19">
        <f t="shared" si="3"/>
        <v>0</v>
      </c>
    </row>
    <row r="45" spans="1:20" ht="12.75">
      <c r="A45" s="7">
        <v>373</v>
      </c>
      <c r="B45" s="8" t="s">
        <v>141</v>
      </c>
      <c r="C45" s="60"/>
      <c r="D45" s="60"/>
      <c r="E45" s="60"/>
      <c r="F45" s="60"/>
      <c r="G45" s="60"/>
      <c r="H45" s="208"/>
      <c r="I45" s="6"/>
      <c r="J45" s="6">
        <v>9696961.4900000002</v>
      </c>
      <c r="K45" s="6">
        <v>15920333.16</v>
      </c>
      <c r="L45" s="48">
        <v>19584073</v>
      </c>
      <c r="M45" s="48">
        <v>22125824</v>
      </c>
      <c r="N45" s="48">
        <v>22125824</v>
      </c>
      <c r="O45" s="48">
        <v>22125824</v>
      </c>
      <c r="P45" s="425">
        <f t="shared" si="0"/>
        <v>113</v>
      </c>
      <c r="Q45" s="6">
        <f t="shared" si="1"/>
        <v>2541751</v>
      </c>
      <c r="R45" s="6">
        <f t="shared" si="2"/>
        <v>6205490.8399999999</v>
      </c>
      <c r="S45" s="149">
        <f t="shared" si="3"/>
        <v>0</v>
      </c>
      <c r="T45" s="19">
        <f t="shared" si="3"/>
        <v>0</v>
      </c>
    </row>
    <row r="46" spans="1:20" ht="12.75">
      <c r="A46" s="7">
        <v>374</v>
      </c>
      <c r="B46" s="8" t="s">
        <v>38</v>
      </c>
      <c r="C46" s="60">
        <v>2017257118</v>
      </c>
      <c r="D46" s="60">
        <v>2034787498</v>
      </c>
      <c r="E46" s="60">
        <v>2180813134</v>
      </c>
      <c r="F46" s="60">
        <v>2067418818</v>
      </c>
      <c r="G46" s="60">
        <v>2105215687.45</v>
      </c>
      <c r="H46" s="209">
        <v>2208089470.5</v>
      </c>
      <c r="I46" s="6">
        <v>2559094440</v>
      </c>
      <c r="J46" s="6">
        <v>2586792388.2399998</v>
      </c>
      <c r="K46" s="6">
        <v>2475661775.5700002</v>
      </c>
      <c r="L46" s="48">
        <v>2697539803</v>
      </c>
      <c r="M46" s="48">
        <v>2545755399</v>
      </c>
      <c r="N46" s="48">
        <v>2545755399</v>
      </c>
      <c r="O46" s="48">
        <v>2545755399</v>
      </c>
      <c r="P46" s="425">
        <f t="shared" si="0"/>
        <v>94.40</v>
      </c>
      <c r="Q46" s="6">
        <f t="shared" si="1"/>
        <v>-151784404</v>
      </c>
      <c r="R46" s="6">
        <f t="shared" si="2"/>
        <v>70093623.429999828</v>
      </c>
      <c r="S46" s="149">
        <f t="shared" si="3"/>
        <v>0</v>
      </c>
      <c r="T46" s="19">
        <f t="shared" si="3"/>
        <v>0</v>
      </c>
    </row>
    <row r="47" spans="1:20" ht="12.75">
      <c r="A47" s="7">
        <v>375</v>
      </c>
      <c r="B47" s="8" t="s">
        <v>39</v>
      </c>
      <c r="C47" s="60">
        <v>319084296</v>
      </c>
      <c r="D47" s="60">
        <v>309255047</v>
      </c>
      <c r="E47" s="60">
        <v>322159280</v>
      </c>
      <c r="F47" s="60">
        <v>324447120</v>
      </c>
      <c r="G47" s="60">
        <v>342772988.45999998</v>
      </c>
      <c r="H47" s="209">
        <v>351653936.99000001</v>
      </c>
      <c r="I47" s="6">
        <v>351236161</v>
      </c>
      <c r="J47" s="6">
        <v>402120891.70999998</v>
      </c>
      <c r="K47" s="6">
        <v>394982587.52999997</v>
      </c>
      <c r="L47" s="48">
        <v>429801218</v>
      </c>
      <c r="M47" s="48">
        <v>427886510</v>
      </c>
      <c r="N47" s="48">
        <v>427886510</v>
      </c>
      <c r="O47" s="48">
        <v>427886510</v>
      </c>
      <c r="P47" s="425">
        <f t="shared" si="0"/>
        <v>99.60</v>
      </c>
      <c r="Q47" s="6">
        <f t="shared" si="1"/>
        <v>-1914708</v>
      </c>
      <c r="R47" s="6">
        <f t="shared" si="2"/>
        <v>32903922.470000029</v>
      </c>
      <c r="S47" s="149">
        <f t="shared" si="3"/>
        <v>0</v>
      </c>
      <c r="T47" s="19">
        <f t="shared" si="3"/>
        <v>0</v>
      </c>
    </row>
    <row r="48" spans="1:20" ht="12.75">
      <c r="A48" s="7">
        <v>376</v>
      </c>
      <c r="B48" s="8" t="s">
        <v>40</v>
      </c>
      <c r="C48" s="60">
        <v>0</v>
      </c>
      <c r="D48" s="60">
        <v>310467620</v>
      </c>
      <c r="E48" s="60">
        <v>275534380</v>
      </c>
      <c r="F48" s="60">
        <v>282333266</v>
      </c>
      <c r="G48" s="60">
        <v>270490912.87</v>
      </c>
      <c r="H48" s="209">
        <v>282522693.76999998</v>
      </c>
      <c r="I48" s="6">
        <v>307586476</v>
      </c>
      <c r="J48" s="6">
        <v>374944522.54000002</v>
      </c>
      <c r="K48" s="6">
        <v>406274928.60000002</v>
      </c>
      <c r="L48" s="48">
        <v>405838074</v>
      </c>
      <c r="M48" s="48">
        <v>428566093</v>
      </c>
      <c r="N48" s="48">
        <v>431926093</v>
      </c>
      <c r="O48" s="48">
        <v>435285093</v>
      </c>
      <c r="P48" s="425">
        <f t="shared" si="0"/>
        <v>105.60</v>
      </c>
      <c r="Q48" s="6">
        <f t="shared" si="1"/>
        <v>22728019</v>
      </c>
      <c r="R48" s="6">
        <f t="shared" si="2"/>
        <v>22291164.399999976</v>
      </c>
      <c r="S48" s="149">
        <f t="shared" si="3"/>
        <v>3360000</v>
      </c>
      <c r="T48" s="19">
        <f t="shared" si="3"/>
        <v>3359000</v>
      </c>
    </row>
    <row r="49" spans="1:20" ht="12.75">
      <c r="A49" s="7">
        <v>377</v>
      </c>
      <c r="B49" s="8" t="s">
        <v>41</v>
      </c>
      <c r="C49" s="60">
        <v>814976469</v>
      </c>
      <c r="D49" s="60">
        <v>1898575137</v>
      </c>
      <c r="E49" s="60">
        <v>2603070222</v>
      </c>
      <c r="F49" s="60">
        <v>2908811182</v>
      </c>
      <c r="G49" s="60">
        <v>3135577938.9899998</v>
      </c>
      <c r="H49" s="209">
        <v>2822666474.8600001</v>
      </c>
      <c r="I49" s="6">
        <v>3513956000</v>
      </c>
      <c r="J49" s="6">
        <v>2911528277.3899999</v>
      </c>
      <c r="K49" s="6">
        <v>2858977209.5300002</v>
      </c>
      <c r="L49" s="48">
        <v>4174081785</v>
      </c>
      <c r="M49" s="48">
        <v>3773804449</v>
      </c>
      <c r="N49" s="48">
        <v>4894515000</v>
      </c>
      <c r="O49" s="48">
        <v>5808682215</v>
      </c>
      <c r="P49" s="425">
        <f t="shared" si="0"/>
        <v>90.40</v>
      </c>
      <c r="Q49" s="6">
        <f t="shared" si="1"/>
        <v>-400277336</v>
      </c>
      <c r="R49" s="6">
        <f t="shared" si="2"/>
        <v>914827239.46999979</v>
      </c>
      <c r="S49" s="149">
        <f t="shared" si="3"/>
        <v>1120710551</v>
      </c>
      <c r="T49" s="19">
        <f t="shared" si="3"/>
        <v>914167215</v>
      </c>
    </row>
    <row r="50" spans="1:20" ht="25.5">
      <c r="A50" s="7">
        <v>378</v>
      </c>
      <c r="B50" s="188" t="s">
        <v>148</v>
      </c>
      <c r="C50" s="60"/>
      <c r="D50" s="60"/>
      <c r="E50" s="60"/>
      <c r="F50" s="60"/>
      <c r="G50" s="60"/>
      <c r="H50" s="209"/>
      <c r="I50" s="6"/>
      <c r="J50" s="6">
        <v>90170026.379999995</v>
      </c>
      <c r="K50" s="6">
        <v>295241316.62</v>
      </c>
      <c r="L50" s="48">
        <v>352460730</v>
      </c>
      <c r="M50" s="48">
        <v>446182429</v>
      </c>
      <c r="N50" s="48">
        <v>522182429</v>
      </c>
      <c r="O50" s="48">
        <v>360014239</v>
      </c>
      <c r="P50" s="425">
        <f t="shared" si="0"/>
        <v>126.60</v>
      </c>
      <c r="Q50" s="6">
        <f t="shared" si="1"/>
        <v>93721699</v>
      </c>
      <c r="R50" s="6">
        <f t="shared" si="2"/>
        <v>150941112.38</v>
      </c>
      <c r="S50" s="149">
        <f t="shared" si="3"/>
        <v>76000000</v>
      </c>
      <c r="T50" s="19">
        <f t="shared" si="3"/>
        <v>-162168190</v>
      </c>
    </row>
    <row r="51" spans="1:20" ht="12.75">
      <c r="A51" s="7">
        <v>381</v>
      </c>
      <c r="B51" s="8" t="s">
        <v>42</v>
      </c>
      <c r="C51" s="60">
        <v>501356229</v>
      </c>
      <c r="D51" s="60">
        <v>468618590</v>
      </c>
      <c r="E51" s="60">
        <v>463881282</v>
      </c>
      <c r="F51" s="60">
        <v>435440953</v>
      </c>
      <c r="G51" s="60">
        <v>472924502.23000002</v>
      </c>
      <c r="H51" s="209">
        <v>496107041.56999999</v>
      </c>
      <c r="I51" s="6">
        <v>518777692</v>
      </c>
      <c r="J51" s="6">
        <v>503990908.29000002</v>
      </c>
      <c r="K51" s="6">
        <v>575273789.92999995</v>
      </c>
      <c r="L51" s="48">
        <v>894507530</v>
      </c>
      <c r="M51" s="48">
        <v>690387855</v>
      </c>
      <c r="N51" s="48">
        <v>658502255</v>
      </c>
      <c r="O51" s="48">
        <v>572149855</v>
      </c>
      <c r="P51" s="425">
        <f t="shared" si="0"/>
        <v>77.20</v>
      </c>
      <c r="Q51" s="6">
        <f t="shared" si="1"/>
        <v>-204119675</v>
      </c>
      <c r="R51" s="6">
        <f t="shared" si="2"/>
        <v>115114065.07000005</v>
      </c>
      <c r="S51" s="149">
        <f t="shared" si="3"/>
        <v>-31885600</v>
      </c>
      <c r="T51" s="19">
        <f t="shared" si="3"/>
        <v>-86352400</v>
      </c>
    </row>
    <row r="52" spans="1:20" ht="12.75">
      <c r="A52" s="7">
        <v>396</v>
      </c>
      <c r="B52" s="8" t="s">
        <v>43</v>
      </c>
      <c r="C52" s="60">
        <v>55633280060</v>
      </c>
      <c r="D52" s="60">
        <v>57088552460</v>
      </c>
      <c r="E52" s="60">
        <v>57842611398</v>
      </c>
      <c r="F52" s="60">
        <v>55894684709</v>
      </c>
      <c r="G52" s="60">
        <v>53193699830.370003</v>
      </c>
      <c r="H52" s="209">
        <v>40653886070.459999</v>
      </c>
      <c r="I52" s="6">
        <v>46342500000</v>
      </c>
      <c r="J52" s="6">
        <v>40151165292.209999</v>
      </c>
      <c r="K52" s="6">
        <v>40729364082.040001</v>
      </c>
      <c r="L52" s="48">
        <v>46499000000</v>
      </c>
      <c r="M52" s="48">
        <v>45810880286</v>
      </c>
      <c r="N52" s="48">
        <v>47481880286</v>
      </c>
      <c r="O52" s="48">
        <v>50166880286</v>
      </c>
      <c r="P52" s="425">
        <f t="shared" si="0"/>
        <v>98.50</v>
      </c>
      <c r="Q52" s="6">
        <f t="shared" si="1"/>
        <v>-688119714</v>
      </c>
      <c r="R52" s="6">
        <f t="shared" si="2"/>
        <v>5081516203.9599991</v>
      </c>
      <c r="S52" s="149">
        <f t="shared" si="3"/>
        <v>1671000000</v>
      </c>
      <c r="T52" s="19">
        <f t="shared" si="3"/>
        <v>2685000000</v>
      </c>
    </row>
    <row r="53" spans="1:20" ht="12.75">
      <c r="A53" s="7">
        <v>397</v>
      </c>
      <c r="B53" s="8" t="s">
        <v>44</v>
      </c>
      <c r="C53" s="60">
        <v>251167870</v>
      </c>
      <c r="D53" s="60">
        <v>307728670</v>
      </c>
      <c r="E53" s="60">
        <v>267892750</v>
      </c>
      <c r="F53" s="60">
        <v>205233301</v>
      </c>
      <c r="G53" s="60">
        <v>262807547.59999999</v>
      </c>
      <c r="H53" s="209">
        <v>336496799.50999999</v>
      </c>
      <c r="I53" s="6">
        <v>1245000000</v>
      </c>
      <c r="J53" s="6">
        <v>65022217.329999998</v>
      </c>
      <c r="K53" s="6">
        <v>2737023.12</v>
      </c>
      <c r="L53" s="48">
        <v>315000000</v>
      </c>
      <c r="M53" s="48">
        <v>365000000</v>
      </c>
      <c r="N53" s="48">
        <v>415000000</v>
      </c>
      <c r="O53" s="48">
        <v>415000000</v>
      </c>
      <c r="P53" s="425">
        <f t="shared" si="0"/>
        <v>115.90</v>
      </c>
      <c r="Q53" s="6">
        <f t="shared" si="1"/>
        <v>50000000</v>
      </c>
      <c r="R53" s="6">
        <f t="shared" si="2"/>
        <v>362262976.88</v>
      </c>
      <c r="S53" s="149">
        <f t="shared" si="3"/>
        <v>50000000</v>
      </c>
      <c r="T53" s="19">
        <f t="shared" si="3"/>
        <v>0</v>
      </c>
    </row>
    <row r="54" spans="1:20" ht="12.75">
      <c r="A54" s="7">
        <v>398</v>
      </c>
      <c r="B54" s="8" t="s">
        <v>45</v>
      </c>
      <c r="C54" s="60">
        <v>134436825090</v>
      </c>
      <c r="D54" s="60">
        <v>119990606760</v>
      </c>
      <c r="E54" s="60">
        <v>124442619359</v>
      </c>
      <c r="F54" s="60">
        <v>130052010022</v>
      </c>
      <c r="G54" s="60">
        <v>125877042644.28</v>
      </c>
      <c r="H54" s="209">
        <v>132727218108.7</v>
      </c>
      <c r="I54" s="6">
        <v>146147098675</v>
      </c>
      <c r="J54" s="6">
        <v>130654060967.17</v>
      </c>
      <c r="K54" s="6">
        <v>142545374142.10999</v>
      </c>
      <c r="L54" s="48">
        <v>157448129462</v>
      </c>
      <c r="M54" s="48">
        <v>168863058009</v>
      </c>
      <c r="N54" s="48">
        <v>170939395049</v>
      </c>
      <c r="O54" s="48">
        <v>200261856313</v>
      </c>
      <c r="P54" s="425">
        <f t="shared" si="0"/>
        <v>107.20</v>
      </c>
      <c r="Q54" s="6">
        <f t="shared" si="1"/>
        <v>11414928547</v>
      </c>
      <c r="R54" s="6">
        <f t="shared" si="2"/>
        <v>26317683866.890015</v>
      </c>
      <c r="S54" s="149">
        <f t="shared" si="3"/>
        <v>2076337040</v>
      </c>
      <c r="T54" s="19">
        <f t="shared" si="3"/>
        <v>29322461264</v>
      </c>
    </row>
    <row r="55" spans="1:20" ht="12.75">
      <c r="A55" s="9"/>
      <c r="B55" s="10"/>
      <c r="C55" s="58"/>
      <c r="D55" s="58"/>
      <c r="E55" s="58"/>
      <c r="F55" s="58"/>
      <c r="G55" s="58"/>
      <c r="H55" s="58"/>
      <c r="I55" s="11"/>
      <c r="J55" s="11"/>
      <c r="K55" s="11"/>
      <c r="L55" s="11"/>
      <c r="M55" s="11"/>
      <c r="N55" s="11"/>
      <c r="O55" s="11"/>
      <c r="P55" s="146" t="str">
        <f t="shared" si="4" ref="P55:P56">IF(I55=0," ",IF(I55&gt;0,ROUND(L55/I55*100,1)))</f>
        <v xml:space="preserve"> </v>
      </c>
      <c r="Q55" s="11"/>
      <c r="R55" s="11"/>
      <c r="S55" s="254"/>
      <c r="T55" s="19"/>
    </row>
    <row r="56" spans="1:20" ht="13.5" thickBot="1">
      <c r="A56" s="12"/>
      <c r="B56" s="13"/>
      <c r="C56" s="59"/>
      <c r="D56" s="59"/>
      <c r="E56" s="59"/>
      <c r="F56" s="59"/>
      <c r="G56" s="59"/>
      <c r="H56" s="59"/>
      <c r="I56" s="14"/>
      <c r="J56" s="14"/>
      <c r="K56" s="14"/>
      <c r="L56" s="14"/>
      <c r="M56" s="14"/>
      <c r="N56" s="14"/>
      <c r="O56" s="14"/>
      <c r="P56" s="147" t="str">
        <f t="shared" si="4"/>
        <v xml:space="preserve"> </v>
      </c>
      <c r="Q56" s="14"/>
      <c r="R56" s="14"/>
      <c r="S56" s="150"/>
      <c r="T56" s="24"/>
    </row>
    <row r="57" spans="1:20" ht="17.25" customHeight="1" thickTop="1" thickBot="1">
      <c r="A57" s="15"/>
      <c r="B57" s="16" t="s">
        <v>46</v>
      </c>
      <c r="C57" s="17">
        <f t="shared" si="5" ref="C57:T57">SUM(C8:C56)</f>
        <v>1039489257714</v>
      </c>
      <c r="D57" s="17">
        <f t="shared" si="5"/>
        <v>1036063035477</v>
      </c>
      <c r="E57" s="17">
        <f t="shared" si="5"/>
        <v>1058048646899</v>
      </c>
      <c r="F57" s="17">
        <f t="shared" si="5"/>
        <v>1074344457271</v>
      </c>
      <c r="G57" s="17">
        <f t="shared" si="5"/>
        <v>1103774985541.2795</v>
      </c>
      <c r="H57" s="17">
        <f t="shared" si="5"/>
        <v>1136066802378.9602</v>
      </c>
      <c r="I57" s="17">
        <f t="shared" si="5"/>
        <v>1211255531637</v>
      </c>
      <c r="J57" s="17">
        <f t="shared" si="6" ref="J57:K57">SUM(J8:J56)</f>
        <v>1196928669597.6799</v>
      </c>
      <c r="K57" s="17">
        <f t="shared" si="6"/>
        <v>1287260869090.9404</v>
      </c>
      <c r="L57" s="17">
        <f t="shared" si="5"/>
        <v>1411475646264</v>
      </c>
      <c r="M57" s="17">
        <f t="shared" si="5"/>
        <v>1489461206649</v>
      </c>
      <c r="N57" s="17">
        <f t="shared" si="5"/>
        <v>1541543375088</v>
      </c>
      <c r="O57" s="17">
        <f t="shared" si="5"/>
        <v>1605091238487</v>
      </c>
      <c r="P57" s="426">
        <f t="shared" si="7" ref="P57">IF(L57=0," ",IF(L57&gt;0,ROUND(M57/L57*100,1)))</f>
        <v>105.50</v>
      </c>
      <c r="Q57" s="17">
        <f t="shared" si="5"/>
        <v>77985560385</v>
      </c>
      <c r="R57" s="143">
        <f t="shared" si="5"/>
        <v>202200337558.06006</v>
      </c>
      <c r="S57" s="253">
        <f t="shared" si="5"/>
        <v>52082168439</v>
      </c>
      <c r="T57" s="252">
        <f t="shared" si="5"/>
        <v>63547863399</v>
      </c>
    </row>
    <row r="58" ht="13.5" thickBot="1">
      <c r="P58" s="320"/>
    </row>
    <row r="59" spans="2:16" ht="13.5" thickBot="1">
      <c r="B59" s="61" t="s">
        <v>129</v>
      </c>
      <c r="C59" s="62">
        <v>-116673360924.38989</v>
      </c>
      <c r="D59" s="62">
        <v>-70619544073.919922</v>
      </c>
      <c r="E59" s="62">
        <v>-81324207380.710205</v>
      </c>
      <c r="F59" s="62">
        <v>-63298365577</v>
      </c>
      <c r="G59" s="62">
        <v>-42661363686.449585</v>
      </c>
      <c r="H59" s="62">
        <v>-13432363444.420166</v>
      </c>
      <c r="I59" s="62">
        <v>-60000000000</v>
      </c>
      <c r="J59" s="62">
        <v>-430534230.83984375</v>
      </c>
      <c r="K59" s="62">
        <v>-3253635572.7104492</v>
      </c>
      <c r="L59" s="62">
        <v>-40000000000</v>
      </c>
      <c r="M59" s="62">
        <v>-40000000000</v>
      </c>
      <c r="N59" s="181">
        <v>-40000000000</v>
      </c>
      <c r="O59" s="181">
        <v>-40000000000</v>
      </c>
      <c r="P59" s="148"/>
    </row>
    <row r="60" spans="2:16" ht="12.75">
      <c r="B60" s="250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</row>
    <row r="61" spans="2:22" ht="12.75">
      <c r="B61" s="1" t="s">
        <v>156</v>
      </c>
      <c r="F61" s="151"/>
      <c r="G61" s="151"/>
      <c r="H61" s="151"/>
      <c r="I61" s="151"/>
      <c r="J61" s="151"/>
      <c r="K61" s="151"/>
      <c r="L61" s="217"/>
      <c r="M61" s="151"/>
      <c r="N61" s="151"/>
      <c r="O61" s="151"/>
      <c r="R61" s="148"/>
      <c r="S61" s="148"/>
      <c r="T61" s="148"/>
      <c r="U61" s="148"/>
      <c r="V61" s="148"/>
    </row>
  </sheetData>
  <mergeCells count="1">
    <mergeCell ref="B5:N5"/>
  </mergeCells>
  <printOptions horizontalCentered="1" verticalCentered="1"/>
  <pageMargins left="0.196850393700787" right="0.196850393700787" top="0.15748031496063" bottom="0.15748031496063" header="0.31496062992126" footer="0.31496062992126"/>
  <pageSetup orientation="landscape" paperSize="9" scale="5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7" zoomScaleNormal="87" workbookViewId="0" topLeftCell="A1">
      <selection pane="topLeft" activeCell="M33" sqref="M33"/>
    </sheetView>
  </sheetViews>
  <sheetFormatPr defaultRowHeight="12.75"/>
  <cols>
    <col min="1" max="1" width="11" style="27" customWidth="1"/>
    <col min="2" max="2" width="52" style="27" customWidth="1"/>
    <col min="3" max="5" width="0" style="27" hidden="1" customWidth="1"/>
    <col min="6" max="7" width="14.8571428571429" style="27" customWidth="1"/>
    <col min="8" max="8" width="0" style="27" hidden="1" customWidth="1"/>
    <col min="9" max="9" width="15.2857142857143" style="27" customWidth="1"/>
    <col min="10" max="10" width="15.7142857142857" style="27" customWidth="1"/>
    <col min="11" max="11" width="16.8571428571429" style="27" customWidth="1"/>
    <col min="12" max="12" width="15.7142857142857" style="27" customWidth="1"/>
    <col min="13" max="13" width="16.5714285714286" style="27" customWidth="1"/>
    <col min="14" max="14" width="16.1428571428571" style="27" customWidth="1"/>
    <col min="15" max="15" width="12" style="27" customWidth="1"/>
    <col min="16" max="17" width="11" style="27" customWidth="1"/>
    <col min="18" max="16384" width="9.28571428571429" style="27"/>
  </cols>
  <sheetData>
    <row r="1" spans="1:15" ht="12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 t="s">
        <v>128</v>
      </c>
      <c r="N1" s="26"/>
      <c r="O1" s="25"/>
    </row>
    <row r="2" spans="1:15" ht="12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6" t="s">
        <v>51</v>
      </c>
      <c r="M2" s="25"/>
      <c r="N2" s="25"/>
      <c r="O2" s="25"/>
    </row>
    <row r="3" spans="1:15" ht="38.25" customHeight="1">
      <c r="A3" s="25"/>
      <c r="B3" s="550" t="s">
        <v>174</v>
      </c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317"/>
      <c r="O3" s="25"/>
    </row>
    <row r="4" spans="2:15" ht="12.7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5" ht="15" customHeight="1" thickBot="1">
      <c r="B5" s="25"/>
      <c r="C5" s="25"/>
      <c r="D5" s="25"/>
      <c r="E5" s="25"/>
      <c r="F5" s="25"/>
      <c r="G5" s="25"/>
      <c r="H5" s="25"/>
      <c r="I5" s="25"/>
      <c r="J5" s="25"/>
      <c r="K5" s="25"/>
      <c r="N5" s="26" t="s">
        <v>1</v>
      </c>
      <c r="O5" s="25"/>
    </row>
    <row r="6" spans="1:17" ht="25.5" customHeight="1" thickBot="1">
      <c r="A6" s="52" t="s">
        <v>52</v>
      </c>
      <c r="B6" s="53" t="s">
        <v>3</v>
      </c>
      <c r="C6" s="57" t="s">
        <v>64</v>
      </c>
      <c r="D6" s="57" t="s">
        <v>63</v>
      </c>
      <c r="E6" s="57" t="s">
        <v>81</v>
      </c>
      <c r="F6" s="57" t="s">
        <v>125</v>
      </c>
      <c r="G6" s="57" t="s">
        <v>142</v>
      </c>
      <c r="H6" s="57" t="s">
        <v>143</v>
      </c>
      <c r="I6" s="57" t="s">
        <v>149</v>
      </c>
      <c r="J6" s="57" t="s">
        <v>165</v>
      </c>
      <c r="K6" s="54">
        <v>2019</v>
      </c>
      <c r="L6" s="54">
        <v>2020</v>
      </c>
      <c r="M6" s="54">
        <v>2021</v>
      </c>
      <c r="N6" s="54">
        <v>2022</v>
      </c>
      <c r="O6" s="56" t="s">
        <v>144</v>
      </c>
      <c r="P6" s="56" t="s">
        <v>153</v>
      </c>
      <c r="Q6" s="197" t="s">
        <v>175</v>
      </c>
    </row>
    <row r="7" spans="1:17" s="89" customFormat="1" ht="15" customHeight="1">
      <c r="A7" s="86">
        <v>306</v>
      </c>
      <c r="B7" s="87" t="s">
        <v>9</v>
      </c>
      <c r="C7" s="88">
        <f t="shared" si="0" ref="C7:N7">SUM(C9:C12)</f>
        <v>605293437.41999996</v>
      </c>
      <c r="D7" s="88">
        <f t="shared" si="0"/>
        <v>577923686.42999995</v>
      </c>
      <c r="E7" s="88">
        <f t="shared" si="0"/>
        <v>619826620</v>
      </c>
      <c r="F7" s="88">
        <f>SUM(F9:F12)</f>
        <v>699885987.9000001</v>
      </c>
      <c r="G7" s="88">
        <f t="shared" si="0"/>
        <v>737129551</v>
      </c>
      <c r="H7" s="88">
        <f t="shared" si="0"/>
        <v>807666000</v>
      </c>
      <c r="I7" s="88">
        <f t="shared" si="0"/>
        <v>786998284.83000004</v>
      </c>
      <c r="J7" s="88">
        <f t="shared" si="0"/>
        <v>786557391</v>
      </c>
      <c r="K7" s="88">
        <f t="shared" si="0"/>
        <v>1025666000</v>
      </c>
      <c r="L7" s="88">
        <f t="shared" si="0"/>
        <v>919166000</v>
      </c>
      <c r="M7" s="88">
        <f t="shared" si="0"/>
        <v>919166000</v>
      </c>
      <c r="N7" s="88">
        <f t="shared" si="0"/>
        <v>919166000</v>
      </c>
      <c r="O7" s="195">
        <f>IF(K7=0," ",IF(K7&gt;0,ROUND(L7/K7*100,1)))</f>
        <v>89.60</v>
      </c>
      <c r="P7" s="195">
        <f>IF(L7=0," ",IF(L7&gt;0,ROUND(M7/L7*100,1)))</f>
        <v>100</v>
      </c>
      <c r="Q7" s="196">
        <f>IF(M7=0," ",IF(M7&gt;0,ROUND(N7/M7*100,1)))</f>
        <v>100</v>
      </c>
    </row>
    <row r="8" spans="1:17" ht="15" customHeight="1">
      <c r="A8" s="30"/>
      <c r="B8" s="31" t="s">
        <v>53</v>
      </c>
      <c r="C8" s="74"/>
      <c r="D8" s="74"/>
      <c r="E8" s="74"/>
      <c r="F8" s="74"/>
      <c r="G8" s="189"/>
      <c r="H8" s="31"/>
      <c r="I8" s="256"/>
      <c r="J8" s="256"/>
      <c r="K8" s="32"/>
      <c r="L8" s="32"/>
      <c r="M8" s="191"/>
      <c r="N8" s="191"/>
      <c r="O8" s="192"/>
      <c r="P8" s="193"/>
      <c r="Q8" s="194"/>
    </row>
    <row r="9" spans="1:17" ht="15" customHeight="1">
      <c r="A9" s="30"/>
      <c r="B9" s="31" t="s">
        <v>57</v>
      </c>
      <c r="C9" s="74">
        <v>483567509.88999999</v>
      </c>
      <c r="D9" s="133">
        <v>455258676.76999998</v>
      </c>
      <c r="E9" s="133">
        <v>480198086</v>
      </c>
      <c r="F9" s="133">
        <v>556309199</v>
      </c>
      <c r="G9" s="133">
        <v>577941664</v>
      </c>
      <c r="H9" s="32">
        <v>727666000</v>
      </c>
      <c r="I9" s="191">
        <v>594492558.76999998</v>
      </c>
      <c r="J9" s="191">
        <v>542174462</v>
      </c>
      <c r="K9" s="32">
        <v>727666000</v>
      </c>
      <c r="L9" s="32">
        <v>621166000</v>
      </c>
      <c r="M9" s="32">
        <v>608166000</v>
      </c>
      <c r="N9" s="32">
        <v>608166000</v>
      </c>
      <c r="O9" s="198">
        <f t="shared" si="1" ref="O9:O22">IF(K9=0," ",IF(K9&gt;0,ROUND(L9/K9*100,1)))</f>
        <v>85.40</v>
      </c>
      <c r="P9" s="198">
        <f t="shared" si="2" ref="P9:P22">IF(L9=0," ",IF(L9&gt;0,ROUND(M9/L9*100,1)))</f>
        <v>97.90</v>
      </c>
      <c r="Q9" s="199">
        <f t="shared" si="3" ref="Q9:Q22">IF(M9=0," ",IF(M9&gt;0,ROUND(N9/M9*100,1)))</f>
        <v>100</v>
      </c>
    </row>
    <row r="10" spans="1:17" ht="15" customHeight="1">
      <c r="A10" s="30"/>
      <c r="B10" s="31" t="s">
        <v>54</v>
      </c>
      <c r="C10" s="74">
        <v>48908238.509999998</v>
      </c>
      <c r="D10" s="133">
        <v>49650791.960000001</v>
      </c>
      <c r="E10" s="133">
        <v>57358512</v>
      </c>
      <c r="F10" s="133">
        <v>56554563.439999998</v>
      </c>
      <c r="G10" s="133">
        <v>59583426</v>
      </c>
      <c r="H10" s="32">
        <v>0</v>
      </c>
      <c r="I10" s="191">
        <v>60688346.439999998</v>
      </c>
      <c r="J10" s="191">
        <v>63087817</v>
      </c>
      <c r="K10" s="32">
        <v>80000000</v>
      </c>
      <c r="L10" s="32">
        <v>80000000</v>
      </c>
      <c r="M10" s="32">
        <v>80000000</v>
      </c>
      <c r="N10" s="32">
        <v>80000000</v>
      </c>
      <c r="O10" s="198">
        <f t="shared" si="1"/>
        <v>100</v>
      </c>
      <c r="P10" s="198">
        <f t="shared" si="2"/>
        <v>100</v>
      </c>
      <c r="Q10" s="199">
        <f t="shared" si="3"/>
        <v>100</v>
      </c>
    </row>
    <row r="11" spans="1:17" ht="15" customHeight="1">
      <c r="A11" s="30"/>
      <c r="B11" s="31" t="s">
        <v>55</v>
      </c>
      <c r="C11" s="74">
        <v>72817689.019999996</v>
      </c>
      <c r="D11" s="133">
        <v>73014217.700000003</v>
      </c>
      <c r="E11" s="133">
        <v>82270022</v>
      </c>
      <c r="F11" s="133">
        <v>87022225.459999993</v>
      </c>
      <c r="G11" s="133">
        <v>99604461</v>
      </c>
      <c r="H11" s="32">
        <v>80000000</v>
      </c>
      <c r="I11" s="191">
        <v>131817379.62</v>
      </c>
      <c r="J11" s="191">
        <v>181295112</v>
      </c>
      <c r="K11" s="32">
        <v>218000000</v>
      </c>
      <c r="L11" s="32">
        <v>218000000</v>
      </c>
      <c r="M11" s="32">
        <v>231000000</v>
      </c>
      <c r="N11" s="32">
        <v>231000000</v>
      </c>
      <c r="O11" s="198">
        <f t="shared" si="1"/>
        <v>100</v>
      </c>
      <c r="P11" s="198">
        <f t="shared" si="2"/>
        <v>106</v>
      </c>
      <c r="Q11" s="199">
        <f t="shared" si="3"/>
        <v>100</v>
      </c>
    </row>
    <row r="12" spans="1:17" ht="15" customHeight="1">
      <c r="A12" s="30"/>
      <c r="B12" s="31"/>
      <c r="C12" s="74">
        <v>0</v>
      </c>
      <c r="D12" s="133"/>
      <c r="E12" s="133"/>
      <c r="F12" s="133"/>
      <c r="G12" s="190"/>
      <c r="H12" s="31"/>
      <c r="I12" s="256"/>
      <c r="J12" s="256"/>
      <c r="K12" s="32"/>
      <c r="L12" s="32"/>
      <c r="M12" s="191"/>
      <c r="N12" s="77"/>
      <c r="O12" s="198" t="str">
        <f t="shared" si="1"/>
        <v xml:space="preserve"> </v>
      </c>
      <c r="P12" s="198" t="str">
        <f t="shared" si="2"/>
        <v xml:space="preserve"> </v>
      </c>
      <c r="Q12" s="199" t="str">
        <f t="shared" si="3"/>
        <v xml:space="preserve"> </v>
      </c>
    </row>
    <row r="13" spans="1:17" ht="15" customHeight="1">
      <c r="A13" s="28">
        <v>312</v>
      </c>
      <c r="B13" s="29" t="s">
        <v>13</v>
      </c>
      <c r="C13" s="75">
        <v>2522720.6800000002</v>
      </c>
      <c r="D13" s="134">
        <v>2701986.50</v>
      </c>
      <c r="E13" s="134">
        <v>1353851</v>
      </c>
      <c r="F13" s="134">
        <v>1861029</v>
      </c>
      <c r="G13" s="134">
        <v>1451863</v>
      </c>
      <c r="H13" s="77">
        <v>0</v>
      </c>
      <c r="I13" s="257">
        <v>1652735.20</v>
      </c>
      <c r="J13" s="257">
        <v>3042645</v>
      </c>
      <c r="K13" s="77">
        <v>0</v>
      </c>
      <c r="L13" s="77">
        <v>0</v>
      </c>
      <c r="M13" s="77">
        <v>0</v>
      </c>
      <c r="N13" s="32">
        <v>0</v>
      </c>
      <c r="O13" s="198" t="str">
        <f t="shared" si="1"/>
        <v xml:space="preserve"> </v>
      </c>
      <c r="P13" s="198" t="str">
        <f t="shared" si="2"/>
        <v xml:space="preserve"> </v>
      </c>
      <c r="Q13" s="199" t="str">
        <f t="shared" si="3"/>
        <v xml:space="preserve"> </v>
      </c>
    </row>
    <row r="14" spans="1:17" ht="15" customHeight="1">
      <c r="A14" s="28">
        <v>313</v>
      </c>
      <c r="B14" s="29" t="s">
        <v>14</v>
      </c>
      <c r="C14" s="75"/>
      <c r="D14" s="134"/>
      <c r="E14" s="134"/>
      <c r="F14" s="134"/>
      <c r="G14" s="134"/>
      <c r="H14" s="257">
        <v>0</v>
      </c>
      <c r="I14" s="257">
        <v>1443055.07</v>
      </c>
      <c r="J14" s="257">
        <v>3280749</v>
      </c>
      <c r="K14" s="77">
        <v>0</v>
      </c>
      <c r="L14" s="77">
        <v>0</v>
      </c>
      <c r="M14" s="77">
        <v>0</v>
      </c>
      <c r="N14" s="77">
        <v>0</v>
      </c>
      <c r="O14" s="198" t="str">
        <f t="shared" si="1"/>
        <v xml:space="preserve"> </v>
      </c>
      <c r="P14" s="198" t="str">
        <f t="shared" si="2"/>
        <v xml:space="preserve"> </v>
      </c>
      <c r="Q14" s="199" t="str">
        <f t="shared" si="3"/>
        <v xml:space="preserve"> </v>
      </c>
    </row>
    <row r="15" spans="1:17" ht="15" customHeight="1">
      <c r="A15" s="28">
        <v>314</v>
      </c>
      <c r="B15" s="73" t="s">
        <v>15</v>
      </c>
      <c r="C15" s="75">
        <v>10160405.539999999</v>
      </c>
      <c r="D15" s="134">
        <v>6825517.5099999998</v>
      </c>
      <c r="E15" s="134">
        <v>2546200</v>
      </c>
      <c r="F15" s="134">
        <v>4908567</v>
      </c>
      <c r="G15" s="134">
        <v>9788976</v>
      </c>
      <c r="H15" s="77">
        <v>0</v>
      </c>
      <c r="I15" s="257">
        <v>7680535.7800000003</v>
      </c>
      <c r="J15" s="257">
        <v>6753049</v>
      </c>
      <c r="K15" s="77">
        <v>0</v>
      </c>
      <c r="L15" s="77">
        <v>0</v>
      </c>
      <c r="M15" s="77">
        <v>0</v>
      </c>
      <c r="N15" s="32">
        <v>0</v>
      </c>
      <c r="O15" s="198" t="str">
        <f t="shared" si="1"/>
        <v xml:space="preserve"> </v>
      </c>
      <c r="P15" s="198" t="str">
        <f t="shared" si="2"/>
        <v xml:space="preserve"> </v>
      </c>
      <c r="Q15" s="199" t="str">
        <f t="shared" si="3"/>
        <v xml:space="preserve"> </v>
      </c>
    </row>
    <row r="16" spans="1:17" ht="15" customHeight="1">
      <c r="A16" s="28">
        <v>315</v>
      </c>
      <c r="B16" s="73" t="s">
        <v>16</v>
      </c>
      <c r="C16" s="75">
        <v>5410418.8499999996</v>
      </c>
      <c r="D16" s="134">
        <v>13885241.390000001</v>
      </c>
      <c r="E16" s="134">
        <v>13433308</v>
      </c>
      <c r="F16" s="134">
        <v>13764244</v>
      </c>
      <c r="G16" s="134">
        <v>6823119</v>
      </c>
      <c r="H16" s="77">
        <v>0</v>
      </c>
      <c r="I16" s="257">
        <v>6861057.5499999998</v>
      </c>
      <c r="J16" s="257">
        <v>3067204</v>
      </c>
      <c r="K16" s="77">
        <v>0</v>
      </c>
      <c r="L16" s="77">
        <v>0</v>
      </c>
      <c r="M16" s="77">
        <v>0</v>
      </c>
      <c r="N16" s="32">
        <v>0</v>
      </c>
      <c r="O16" s="198" t="str">
        <f t="shared" si="1"/>
        <v xml:space="preserve"> </v>
      </c>
      <c r="P16" s="198" t="str">
        <f t="shared" si="2"/>
        <v xml:space="preserve"> </v>
      </c>
      <c r="Q16" s="199" t="str">
        <f t="shared" si="3"/>
        <v xml:space="preserve"> </v>
      </c>
    </row>
    <row r="17" spans="1:17" ht="15" customHeight="1">
      <c r="A17" s="28">
        <v>322</v>
      </c>
      <c r="B17" s="73" t="s">
        <v>19</v>
      </c>
      <c r="C17" s="75">
        <v>23235121.809999999</v>
      </c>
      <c r="D17" s="134">
        <v>14296138.42</v>
      </c>
      <c r="E17" s="134">
        <v>12527368</v>
      </c>
      <c r="F17" s="134">
        <v>14353129</v>
      </c>
      <c r="G17" s="134">
        <v>12960215</v>
      </c>
      <c r="H17" s="77">
        <v>0</v>
      </c>
      <c r="I17" s="257">
        <v>11373736.92</v>
      </c>
      <c r="J17" s="257">
        <v>12870404</v>
      </c>
      <c r="K17" s="77">
        <v>0</v>
      </c>
      <c r="L17" s="77">
        <v>0</v>
      </c>
      <c r="M17" s="77">
        <v>0</v>
      </c>
      <c r="N17" s="32">
        <v>0</v>
      </c>
      <c r="O17" s="198" t="str">
        <f t="shared" si="1"/>
        <v xml:space="preserve"> </v>
      </c>
      <c r="P17" s="198" t="str">
        <f t="shared" si="2"/>
        <v xml:space="preserve"> </v>
      </c>
      <c r="Q17" s="199" t="str">
        <f t="shared" si="3"/>
        <v xml:space="preserve"> </v>
      </c>
    </row>
    <row r="18" spans="1:17" ht="15" customHeight="1">
      <c r="A18" s="28">
        <v>329</v>
      </c>
      <c r="B18" s="73" t="s">
        <v>22</v>
      </c>
      <c r="C18" s="75">
        <v>2793000</v>
      </c>
      <c r="D18" s="134">
        <v>5151022.3099999996</v>
      </c>
      <c r="E18" s="134">
        <v>4467024</v>
      </c>
      <c r="F18" s="134">
        <v>16464871</v>
      </c>
      <c r="G18" s="134">
        <v>14996267</v>
      </c>
      <c r="H18" s="77">
        <v>0</v>
      </c>
      <c r="I18" s="257">
        <v>19064912.16</v>
      </c>
      <c r="J18" s="257">
        <v>23324991</v>
      </c>
      <c r="K18" s="77">
        <v>0</v>
      </c>
      <c r="L18" s="77">
        <v>0</v>
      </c>
      <c r="M18" s="77">
        <v>0</v>
      </c>
      <c r="N18" s="32">
        <v>0</v>
      </c>
      <c r="O18" s="198" t="str">
        <f t="shared" si="1"/>
        <v xml:space="preserve"> </v>
      </c>
      <c r="P18" s="198" t="str">
        <f t="shared" si="2"/>
        <v xml:space="preserve"> </v>
      </c>
      <c r="Q18" s="199" t="str">
        <f t="shared" si="3"/>
        <v xml:space="preserve"> </v>
      </c>
    </row>
    <row r="19" spans="1:17" ht="15" customHeight="1">
      <c r="A19" s="30">
        <v>333</v>
      </c>
      <c r="B19" s="33" t="s">
        <v>23</v>
      </c>
      <c r="C19" s="75">
        <v>84467000</v>
      </c>
      <c r="D19" s="134">
        <v>97119239</v>
      </c>
      <c r="E19" s="134">
        <v>96840826</v>
      </c>
      <c r="F19" s="134">
        <v>100000069</v>
      </c>
      <c r="G19" s="134">
        <v>109860053</v>
      </c>
      <c r="H19" s="77">
        <v>125500000</v>
      </c>
      <c r="I19" s="257">
        <v>115277516.40000001</v>
      </c>
      <c r="J19" s="257">
        <v>107902002</v>
      </c>
      <c r="K19" s="77">
        <v>125500000</v>
      </c>
      <c r="L19" s="77">
        <v>112000000</v>
      </c>
      <c r="M19" s="77">
        <v>112000000</v>
      </c>
      <c r="N19" s="32">
        <v>112000000</v>
      </c>
      <c r="O19" s="198">
        <f t="shared" si="1"/>
        <v>89.20</v>
      </c>
      <c r="P19" s="198">
        <f t="shared" si="2"/>
        <v>100</v>
      </c>
      <c r="Q19" s="199">
        <f t="shared" si="3"/>
        <v>100</v>
      </c>
    </row>
    <row r="20" spans="1:17" ht="15" customHeight="1">
      <c r="A20" s="357">
        <v>335</v>
      </c>
      <c r="B20" s="358" t="s">
        <v>25</v>
      </c>
      <c r="C20" s="359">
        <v>5799604.96</v>
      </c>
      <c r="D20" s="360">
        <v>1487980.51</v>
      </c>
      <c r="E20" s="360">
        <v>1061642</v>
      </c>
      <c r="F20" s="134">
        <v>995064</v>
      </c>
      <c r="G20" s="134">
        <v>1392322</v>
      </c>
      <c r="H20" s="77">
        <v>3000000</v>
      </c>
      <c r="I20" s="257">
        <v>1425676.26</v>
      </c>
      <c r="J20" s="257">
        <v>1547591</v>
      </c>
      <c r="K20" s="77">
        <v>3000000</v>
      </c>
      <c r="L20" s="77">
        <v>3000000</v>
      </c>
      <c r="M20" s="77">
        <v>3000000</v>
      </c>
      <c r="N20" s="191">
        <v>3000000</v>
      </c>
      <c r="O20" s="361">
        <f t="shared" si="1"/>
        <v>100</v>
      </c>
      <c r="P20" s="361">
        <f t="shared" si="2"/>
        <v>100</v>
      </c>
      <c r="Q20" s="362">
        <f t="shared" si="3"/>
        <v>100</v>
      </c>
    </row>
    <row r="21" spans="1:17" ht="15" customHeight="1" thickBot="1">
      <c r="A21" s="34">
        <v>376</v>
      </c>
      <c r="B21" s="35" t="s">
        <v>40</v>
      </c>
      <c r="C21" s="78">
        <v>5799604.96</v>
      </c>
      <c r="D21" s="135">
        <v>1487980.51</v>
      </c>
      <c r="E21" s="135">
        <v>1061642</v>
      </c>
      <c r="F21" s="135"/>
      <c r="G21" s="135"/>
      <c r="H21" s="79">
        <v>3000000</v>
      </c>
      <c r="I21" s="79"/>
      <c r="J21" s="79">
        <v>133445</v>
      </c>
      <c r="K21" s="79">
        <v>0</v>
      </c>
      <c r="L21" s="79">
        <v>0</v>
      </c>
      <c r="M21" s="79">
        <v>0</v>
      </c>
      <c r="N21" s="79">
        <v>0</v>
      </c>
      <c r="O21" s="200" t="str">
        <f t="shared" si="1"/>
        <v xml:space="preserve"> </v>
      </c>
      <c r="P21" s="200" t="str">
        <f t="shared" si="2"/>
        <v xml:space="preserve"> </v>
      </c>
      <c r="Q21" s="201" t="str">
        <f t="shared" si="3"/>
        <v xml:space="preserve"> </v>
      </c>
    </row>
    <row r="22" spans="1:17" ht="19.5" customHeight="1" thickTop="1" thickBot="1">
      <c r="A22" s="36"/>
      <c r="B22" s="37" t="s">
        <v>56</v>
      </c>
      <c r="C22" s="38">
        <f t="shared" si="4" ref="C22:N22">SUM(C7:C21)-C7</f>
        <v>745481314.21999991</v>
      </c>
      <c r="D22" s="38">
        <f t="shared" si="4"/>
        <v>720878792.58000004</v>
      </c>
      <c r="E22" s="38">
        <f t="shared" si="4"/>
        <v>753118481</v>
      </c>
      <c r="F22" s="38">
        <f t="shared" si="4"/>
        <v>852232960.9000001</v>
      </c>
      <c r="G22" s="38">
        <f t="shared" si="4"/>
        <v>894402366</v>
      </c>
      <c r="H22" s="38">
        <f t="shared" si="4"/>
        <v>939166000</v>
      </c>
      <c r="I22" s="38">
        <f t="shared" si="4"/>
        <v>951777510.16999996</v>
      </c>
      <c r="J22" s="38">
        <f t="shared" si="4"/>
        <v>948479471</v>
      </c>
      <c r="K22" s="38">
        <f t="shared" si="4"/>
        <v>1154166000</v>
      </c>
      <c r="L22" s="38">
        <f t="shared" si="4"/>
        <v>1034166000</v>
      </c>
      <c r="M22" s="38">
        <f t="shared" si="4"/>
        <v>1034166000</v>
      </c>
      <c r="N22" s="38">
        <f t="shared" si="4"/>
        <v>1034166000</v>
      </c>
      <c r="O22" s="202">
        <f t="shared" si="1"/>
        <v>89.60</v>
      </c>
      <c r="P22" s="202">
        <f t="shared" si="2"/>
        <v>100</v>
      </c>
      <c r="Q22" s="203">
        <f t="shared" si="3"/>
        <v>100</v>
      </c>
    </row>
    <row r="23" spans="2:17" ht="12.75">
      <c r="B23" s="39"/>
      <c r="C23" s="39"/>
      <c r="D23" s="39"/>
      <c r="E23" s="39"/>
      <c r="F23" s="39"/>
      <c r="G23" s="39"/>
      <c r="H23" s="39"/>
      <c r="I23" s="39"/>
      <c r="J23" s="39"/>
      <c r="K23" s="40"/>
      <c r="L23" s="40"/>
      <c r="M23" s="41"/>
      <c r="N23" s="41"/>
      <c r="O23" s="25"/>
      <c r="P23" s="25"/>
      <c r="Q23" s="76"/>
    </row>
    <row r="24" spans="1:17" s="25" customFormat="1" ht="19.5" customHeight="1">
      <c r="A24" s="551" t="s">
        <v>799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318"/>
      <c r="Q24" s="41"/>
    </row>
    <row r="25" spans="1:17" ht="12.75">
      <c r="A25" s="42"/>
      <c r="B25" s="43"/>
      <c r="C25" s="43"/>
      <c r="D25" s="43"/>
      <c r="E25" s="43"/>
      <c r="G25" s="43"/>
      <c r="H25" s="43"/>
      <c r="I25" s="43"/>
      <c r="J25" s="43"/>
      <c r="K25" s="44"/>
      <c r="L25" s="44"/>
      <c r="M25" s="45"/>
      <c r="N25" s="45"/>
      <c r="O25" s="25"/>
      <c r="P25" s="25"/>
      <c r="Q25" s="76"/>
    </row>
    <row r="26" spans="1:17" ht="12.7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41"/>
      <c r="L26" s="41"/>
      <c r="M26" s="41"/>
      <c r="N26" s="41"/>
      <c r="O26" s="25"/>
      <c r="Q26" s="76"/>
    </row>
    <row r="27" spans="15:17" ht="12.75">
      <c r="O27" s="25"/>
      <c r="Q27" s="76"/>
    </row>
    <row r="28" spans="15:17" ht="12.75">
      <c r="O28" s="25"/>
      <c r="Q28" s="76"/>
    </row>
    <row r="29" ht="12.75">
      <c r="Q29" s="76"/>
    </row>
  </sheetData>
  <mergeCells count="2">
    <mergeCell ref="B3:M3"/>
    <mergeCell ref="A24:M24"/>
  </mergeCells>
  <printOptions horizontalCentered="1"/>
  <pageMargins left="0.66" right="0.78740157480315" top="0.78" bottom="0.984251968503937" header="0.511811023622047" footer="0.511811023622047"/>
  <pageSetup orientation="landscape" paperSize="9" scale="65" r:id="rId3"/>
  <headerFooter alignWithMargins="0"/>
  <ignoredErrors>
    <ignoredError sqref="H7 D7:F7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70" zoomScaleNormal="70" workbookViewId="0" topLeftCell="A1">
      <selection pane="topLeft" activeCell="S14" sqref="S14"/>
    </sheetView>
  </sheetViews>
  <sheetFormatPr defaultRowHeight="12.75"/>
  <cols>
    <col min="1" max="1" width="22.7142857142857" customWidth="1"/>
    <col min="2" max="2" width="26.1428571428571" bestFit="1" customWidth="1"/>
    <col min="3" max="3" width="21.8571428571429" customWidth="1"/>
    <col min="4" max="4" width="24.7142857142857" customWidth="1"/>
    <col min="5" max="5" width="17" customWidth="1"/>
    <col min="6" max="6" width="0" hidden="1" customWidth="1"/>
    <col min="7" max="7" width="28.8571428571429" customWidth="1"/>
    <col min="8" max="8" width="25.8571428571429" customWidth="1"/>
    <col min="9" max="9" width="28.7142857142857" customWidth="1"/>
    <col min="10" max="10" width="18" customWidth="1"/>
    <col min="11" max="11" width="0" hidden="1" customWidth="1"/>
    <col min="12" max="12" width="29.5714285714286" customWidth="1"/>
    <col min="13" max="13" width="26" customWidth="1"/>
    <col min="14" max="14" width="26.2857142857143" customWidth="1"/>
    <col min="15" max="15" width="17.2857142857143" customWidth="1"/>
    <col min="16" max="16" width="0" hidden="1" customWidth="1"/>
  </cols>
  <sheetData>
    <row r="1" spans="1:16" ht="18.75">
      <c r="A1" s="474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501" t="s">
        <v>163</v>
      </c>
      <c r="P1" s="279"/>
    </row>
    <row r="2" spans="1:16" ht="18.75">
      <c r="A2" s="553"/>
      <c r="B2" s="555" t="s">
        <v>417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</row>
    <row r="3" spans="1:16" ht="21" thickBot="1">
      <c r="A3" s="554"/>
      <c r="B3" s="475"/>
      <c r="C3" s="475"/>
      <c r="D3" s="475"/>
      <c r="E3" s="475"/>
      <c r="F3" s="476"/>
      <c r="G3" s="279"/>
      <c r="H3" s="279"/>
      <c r="I3" s="279"/>
      <c r="J3" s="279"/>
      <c r="K3" s="279"/>
      <c r="L3" s="279"/>
      <c r="M3" s="279"/>
      <c r="N3" s="279"/>
      <c r="O3" s="279"/>
      <c r="P3" s="279"/>
    </row>
    <row r="4" spans="1:17" ht="18.75">
      <c r="A4" s="477"/>
      <c r="B4" s="556" t="s">
        <v>353</v>
      </c>
      <c r="C4" s="557"/>
      <c r="D4" s="557"/>
      <c r="E4" s="557"/>
      <c r="F4" s="558"/>
      <c r="G4" s="556" t="s">
        <v>354</v>
      </c>
      <c r="H4" s="557"/>
      <c r="I4" s="557"/>
      <c r="J4" s="557"/>
      <c r="K4" s="558"/>
      <c r="L4" s="556" t="s">
        <v>355</v>
      </c>
      <c r="M4" s="557"/>
      <c r="N4" s="557"/>
      <c r="O4" s="557"/>
      <c r="P4" s="558"/>
      <c r="Q4" s="499"/>
    </row>
    <row r="5" spans="1:17" ht="18.75">
      <c r="A5" s="478" t="s">
        <v>356</v>
      </c>
      <c r="B5" s="559"/>
      <c r="C5" s="560"/>
      <c r="D5" s="560"/>
      <c r="E5" s="560"/>
      <c r="F5" s="561"/>
      <c r="G5" s="559"/>
      <c r="H5" s="560"/>
      <c r="I5" s="560"/>
      <c r="J5" s="560"/>
      <c r="K5" s="561"/>
      <c r="L5" s="559"/>
      <c r="M5" s="560"/>
      <c r="N5" s="560"/>
      <c r="O5" s="560"/>
      <c r="P5" s="561"/>
      <c r="Q5" s="499"/>
    </row>
    <row r="6" spans="1:17" ht="19.5" thickBot="1">
      <c r="A6" s="479" t="s">
        <v>357</v>
      </c>
      <c r="B6" s="562"/>
      <c r="C6" s="563"/>
      <c r="D6" s="563"/>
      <c r="E6" s="563"/>
      <c r="F6" s="564"/>
      <c r="G6" s="562"/>
      <c r="H6" s="563"/>
      <c r="I6" s="563"/>
      <c r="J6" s="563"/>
      <c r="K6" s="564"/>
      <c r="L6" s="562"/>
      <c r="M6" s="563"/>
      <c r="N6" s="563"/>
      <c r="O6" s="563"/>
      <c r="P6" s="564"/>
      <c r="Q6" s="499"/>
    </row>
    <row r="7" spans="1:17" ht="18.75">
      <c r="A7" s="479" t="s">
        <v>358</v>
      </c>
      <c r="B7" s="280" t="s">
        <v>359</v>
      </c>
      <c r="C7" s="281" t="s">
        <v>360</v>
      </c>
      <c r="D7" s="282"/>
      <c r="E7" s="283"/>
      <c r="F7" s="283"/>
      <c r="G7" s="284" t="s">
        <v>359</v>
      </c>
      <c r="H7" s="285" t="s">
        <v>360</v>
      </c>
      <c r="I7" s="480"/>
      <c r="J7" s="282"/>
      <c r="K7" s="286"/>
      <c r="L7" s="284" t="s">
        <v>359</v>
      </c>
      <c r="M7" s="285" t="s">
        <v>360</v>
      </c>
      <c r="N7" s="480"/>
      <c r="O7" s="282"/>
      <c r="P7" s="286"/>
      <c r="Q7" s="499"/>
    </row>
    <row r="8" spans="1:17" ht="25.5">
      <c r="A8" s="481"/>
      <c r="B8" s="284" t="s">
        <v>361</v>
      </c>
      <c r="C8" s="285" t="s">
        <v>362</v>
      </c>
      <c r="D8" s="287" t="s">
        <v>363</v>
      </c>
      <c r="E8" s="288" t="s">
        <v>364</v>
      </c>
      <c r="F8" s="288" t="s">
        <v>365</v>
      </c>
      <c r="G8" s="284" t="s">
        <v>361</v>
      </c>
      <c r="H8" s="285" t="s">
        <v>362</v>
      </c>
      <c r="I8" s="480" t="s">
        <v>363</v>
      </c>
      <c r="J8" s="482" t="s">
        <v>364</v>
      </c>
      <c r="K8" s="289" t="s">
        <v>365</v>
      </c>
      <c r="L8" s="284" t="s">
        <v>361</v>
      </c>
      <c r="M8" s="285" t="s">
        <v>362</v>
      </c>
      <c r="N8" s="480" t="s">
        <v>363</v>
      </c>
      <c r="O8" s="482" t="s">
        <v>364</v>
      </c>
      <c r="P8" s="289" t="s">
        <v>365</v>
      </c>
      <c r="Q8" s="499"/>
    </row>
    <row r="9" spans="1:17" ht="12.75">
      <c r="A9" s="481"/>
      <c r="B9" s="284" t="s">
        <v>366</v>
      </c>
      <c r="C9" s="285" t="s">
        <v>367</v>
      </c>
      <c r="D9" s="287" t="s">
        <v>368</v>
      </c>
      <c r="E9" s="288" t="s">
        <v>369</v>
      </c>
      <c r="F9" s="288" t="s">
        <v>370</v>
      </c>
      <c r="G9" s="284" t="s">
        <v>366</v>
      </c>
      <c r="H9" s="285" t="s">
        <v>367</v>
      </c>
      <c r="I9" s="480" t="s">
        <v>368</v>
      </c>
      <c r="J9" s="482" t="s">
        <v>369</v>
      </c>
      <c r="K9" s="289" t="s">
        <v>370</v>
      </c>
      <c r="L9" s="284" t="s">
        <v>366</v>
      </c>
      <c r="M9" s="285" t="s">
        <v>367</v>
      </c>
      <c r="N9" s="480" t="s">
        <v>368</v>
      </c>
      <c r="O9" s="482" t="s">
        <v>369</v>
      </c>
      <c r="P9" s="289" t="s">
        <v>370</v>
      </c>
      <c r="Q9" s="499"/>
    </row>
    <row r="10" spans="1:17" ht="12.75">
      <c r="A10" s="481"/>
      <c r="B10" s="284" t="s">
        <v>371</v>
      </c>
      <c r="C10" s="285" t="s">
        <v>372</v>
      </c>
      <c r="D10" s="287" t="s">
        <v>369</v>
      </c>
      <c r="E10" s="288"/>
      <c r="F10" s="288"/>
      <c r="G10" s="284" t="s">
        <v>371</v>
      </c>
      <c r="H10" s="285" t="s">
        <v>372</v>
      </c>
      <c r="I10" s="480" t="s">
        <v>369</v>
      </c>
      <c r="J10" s="482"/>
      <c r="K10" s="289"/>
      <c r="L10" s="284" t="s">
        <v>371</v>
      </c>
      <c r="M10" s="285" t="s">
        <v>372</v>
      </c>
      <c r="N10" s="480" t="s">
        <v>369</v>
      </c>
      <c r="O10" s="482"/>
      <c r="P10" s="289"/>
      <c r="Q10" s="499"/>
    </row>
    <row r="11" spans="1:17" ht="13.5" thickBot="1">
      <c r="A11" s="483"/>
      <c r="B11" s="484" t="s">
        <v>1</v>
      </c>
      <c r="C11" s="485" t="s">
        <v>1</v>
      </c>
      <c r="D11" s="486" t="s">
        <v>1</v>
      </c>
      <c r="E11" s="487"/>
      <c r="F11" s="487" t="s">
        <v>1</v>
      </c>
      <c r="G11" s="488" t="s">
        <v>1</v>
      </c>
      <c r="H11" s="290" t="s">
        <v>1</v>
      </c>
      <c r="I11" s="290" t="s">
        <v>1</v>
      </c>
      <c r="J11" s="482"/>
      <c r="K11" s="289" t="s">
        <v>1</v>
      </c>
      <c r="L11" s="489" t="s">
        <v>1</v>
      </c>
      <c r="M11" s="290" t="s">
        <v>1</v>
      </c>
      <c r="N11" s="290" t="s">
        <v>1</v>
      </c>
      <c r="O11" s="482"/>
      <c r="P11" s="289" t="s">
        <v>1</v>
      </c>
      <c r="Q11" s="499"/>
    </row>
    <row r="12" spans="1:17" ht="12.75">
      <c r="A12" s="490"/>
      <c r="B12" s="491"/>
      <c r="C12" s="492"/>
      <c r="D12" s="493"/>
      <c r="E12" s="494"/>
      <c r="F12" s="495"/>
      <c r="G12" s="496"/>
      <c r="H12" s="493"/>
      <c r="I12" s="493"/>
      <c r="J12" s="497"/>
      <c r="K12" s="495"/>
      <c r="L12" s="496"/>
      <c r="M12" s="493"/>
      <c r="N12" s="493"/>
      <c r="O12" s="497"/>
      <c r="P12" s="291"/>
      <c r="Q12" s="499"/>
    </row>
    <row r="13" spans="1:17" ht="18.75">
      <c r="A13" s="498" t="s">
        <v>373</v>
      </c>
      <c r="B13" s="292">
        <v>180055913</v>
      </c>
      <c r="C13" s="293">
        <v>8606156</v>
      </c>
      <c r="D13" s="293">
        <v>171449757</v>
      </c>
      <c r="E13" s="294">
        <v>407</v>
      </c>
      <c r="F13" s="295">
        <v>35104</v>
      </c>
      <c r="G13" s="292">
        <v>180055913</v>
      </c>
      <c r="H13" s="293">
        <v>8606156</v>
      </c>
      <c r="I13" s="293">
        <v>171449757</v>
      </c>
      <c r="J13" s="294">
        <v>407</v>
      </c>
      <c r="K13" s="295">
        <v>35104</v>
      </c>
      <c r="L13" s="292">
        <v>180055913</v>
      </c>
      <c r="M13" s="293">
        <v>8606156</v>
      </c>
      <c r="N13" s="293">
        <v>171449757</v>
      </c>
      <c r="O13" s="294">
        <v>407</v>
      </c>
      <c r="P13" s="295">
        <v>35104</v>
      </c>
      <c r="Q13" s="499"/>
    </row>
    <row r="14" spans="1:17" ht="18.75">
      <c r="A14" s="296" t="s">
        <v>374</v>
      </c>
      <c r="B14" s="292">
        <v>481519143</v>
      </c>
      <c r="C14" s="293">
        <v>270754904</v>
      </c>
      <c r="D14" s="293">
        <v>210764239</v>
      </c>
      <c r="E14" s="294">
        <v>360</v>
      </c>
      <c r="F14" s="295">
        <v>48788</v>
      </c>
      <c r="G14" s="292">
        <v>483519143</v>
      </c>
      <c r="H14" s="293">
        <v>272754904</v>
      </c>
      <c r="I14" s="293">
        <v>210764239</v>
      </c>
      <c r="J14" s="294">
        <v>360</v>
      </c>
      <c r="K14" s="295">
        <v>48788</v>
      </c>
      <c r="L14" s="292">
        <v>541519143</v>
      </c>
      <c r="M14" s="293">
        <v>330754904</v>
      </c>
      <c r="N14" s="293">
        <v>210764239</v>
      </c>
      <c r="O14" s="294">
        <v>360</v>
      </c>
      <c r="P14" s="295">
        <v>48788</v>
      </c>
      <c r="Q14" s="499"/>
    </row>
    <row r="15" spans="1:17" ht="18.75">
      <c r="A15" s="296" t="s">
        <v>375</v>
      </c>
      <c r="B15" s="292">
        <v>226507121</v>
      </c>
      <c r="C15" s="293">
        <v>110755522</v>
      </c>
      <c r="D15" s="293">
        <v>115751599</v>
      </c>
      <c r="E15" s="294">
        <v>213</v>
      </c>
      <c r="F15" s="295">
        <v>45286</v>
      </c>
      <c r="G15" s="292">
        <v>227909538</v>
      </c>
      <c r="H15" s="293">
        <v>112157939</v>
      </c>
      <c r="I15" s="293">
        <v>115751599</v>
      </c>
      <c r="J15" s="294">
        <v>213</v>
      </c>
      <c r="K15" s="295">
        <v>45286</v>
      </c>
      <c r="L15" s="292">
        <v>244409538</v>
      </c>
      <c r="M15" s="293">
        <v>128657939</v>
      </c>
      <c r="N15" s="293">
        <v>115751599</v>
      </c>
      <c r="O15" s="294">
        <v>213</v>
      </c>
      <c r="P15" s="295">
        <v>45286</v>
      </c>
      <c r="Q15" s="499"/>
    </row>
    <row r="16" spans="1:17" ht="18.75">
      <c r="A16" s="296" t="s">
        <v>376</v>
      </c>
      <c r="B16" s="292">
        <v>384629204</v>
      </c>
      <c r="C16" s="293">
        <v>53820563</v>
      </c>
      <c r="D16" s="293">
        <v>330808641</v>
      </c>
      <c r="E16" s="294">
        <v>454</v>
      </c>
      <c r="F16" s="295">
        <v>60721</v>
      </c>
      <c r="G16" s="292">
        <v>384629204</v>
      </c>
      <c r="H16" s="293">
        <v>53820563</v>
      </c>
      <c r="I16" s="293">
        <v>330808641</v>
      </c>
      <c r="J16" s="294">
        <v>454</v>
      </c>
      <c r="K16" s="295">
        <v>60721</v>
      </c>
      <c r="L16" s="292">
        <v>384629204</v>
      </c>
      <c r="M16" s="293">
        <v>53820563</v>
      </c>
      <c r="N16" s="293">
        <v>330808641</v>
      </c>
      <c r="O16" s="294">
        <v>454</v>
      </c>
      <c r="P16" s="295">
        <v>60721</v>
      </c>
      <c r="Q16" s="499"/>
    </row>
    <row r="17" spans="1:17" ht="18.75">
      <c r="A17" s="296" t="s">
        <v>377</v>
      </c>
      <c r="B17" s="292">
        <v>1008848694</v>
      </c>
      <c r="C17" s="293">
        <v>9231750</v>
      </c>
      <c r="D17" s="293">
        <v>999616944</v>
      </c>
      <c r="E17" s="294">
        <v>2006.58</v>
      </c>
      <c r="F17" s="295">
        <v>41514</v>
      </c>
      <c r="G17" s="292">
        <v>1006977848</v>
      </c>
      <c r="H17" s="293">
        <v>9231750</v>
      </c>
      <c r="I17" s="293">
        <v>997746098</v>
      </c>
      <c r="J17" s="294">
        <v>2004</v>
      </c>
      <c r="K17" s="295">
        <v>41490</v>
      </c>
      <c r="L17" s="292">
        <v>1004653566</v>
      </c>
      <c r="M17" s="293">
        <v>9231750</v>
      </c>
      <c r="N17" s="293">
        <v>995421816</v>
      </c>
      <c r="O17" s="294">
        <v>2000.50</v>
      </c>
      <c r="P17" s="295">
        <v>41466</v>
      </c>
      <c r="Q17" s="499"/>
    </row>
    <row r="18" spans="1:17" ht="18.75">
      <c r="A18" s="296" t="s">
        <v>378</v>
      </c>
      <c r="B18" s="292">
        <v>18154757639</v>
      </c>
      <c r="C18" s="293">
        <v>1688999157</v>
      </c>
      <c r="D18" s="293">
        <v>16465758482</v>
      </c>
      <c r="E18" s="294">
        <v>35411</v>
      </c>
      <c r="F18" s="295">
        <v>38749</v>
      </c>
      <c r="G18" s="292">
        <v>18609957541</v>
      </c>
      <c r="H18" s="293">
        <v>1641958107</v>
      </c>
      <c r="I18" s="293">
        <v>16967999434</v>
      </c>
      <c r="J18" s="294">
        <v>36511.50</v>
      </c>
      <c r="K18" s="295">
        <v>38728</v>
      </c>
      <c r="L18" s="292">
        <v>18610266693</v>
      </c>
      <c r="M18" s="293">
        <v>1641958107</v>
      </c>
      <c r="N18" s="293">
        <v>16968308586</v>
      </c>
      <c r="O18" s="294">
        <v>36512</v>
      </c>
      <c r="P18" s="295">
        <v>38728</v>
      </c>
      <c r="Q18" s="499"/>
    </row>
    <row r="19" spans="1:17" ht="18.75">
      <c r="A19" s="296" t="s">
        <v>379</v>
      </c>
      <c r="B19" s="292">
        <v>164633256</v>
      </c>
      <c r="C19" s="293">
        <v>1420438</v>
      </c>
      <c r="D19" s="293">
        <v>163212818</v>
      </c>
      <c r="E19" s="294">
        <v>255</v>
      </c>
      <c r="F19" s="295">
        <v>53338</v>
      </c>
      <c r="G19" s="292">
        <v>164633256</v>
      </c>
      <c r="H19" s="293">
        <v>1420438</v>
      </c>
      <c r="I19" s="293">
        <v>163212818</v>
      </c>
      <c r="J19" s="294">
        <v>255</v>
      </c>
      <c r="K19" s="295">
        <v>53338</v>
      </c>
      <c r="L19" s="292">
        <v>164633256</v>
      </c>
      <c r="M19" s="293">
        <v>1420438</v>
      </c>
      <c r="N19" s="293">
        <v>163212818</v>
      </c>
      <c r="O19" s="294">
        <v>255</v>
      </c>
      <c r="P19" s="295">
        <v>53338</v>
      </c>
      <c r="Q19" s="499"/>
    </row>
    <row r="20" spans="1:17" ht="18.75">
      <c r="A20" s="296" t="s">
        <v>380</v>
      </c>
      <c r="B20" s="292">
        <v>85564208</v>
      </c>
      <c r="C20" s="293">
        <v>7160450</v>
      </c>
      <c r="D20" s="293">
        <v>78403758</v>
      </c>
      <c r="E20" s="294">
        <v>154</v>
      </c>
      <c r="F20" s="295">
        <v>42426</v>
      </c>
      <c r="G20" s="292">
        <v>85531538</v>
      </c>
      <c r="H20" s="293">
        <v>7154780</v>
      </c>
      <c r="I20" s="293">
        <v>78376758</v>
      </c>
      <c r="J20" s="294">
        <v>154</v>
      </c>
      <c r="K20" s="295">
        <v>42412</v>
      </c>
      <c r="L20" s="292">
        <v>85531538</v>
      </c>
      <c r="M20" s="293">
        <v>7154780</v>
      </c>
      <c r="N20" s="293">
        <v>78376758</v>
      </c>
      <c r="O20" s="294">
        <v>154</v>
      </c>
      <c r="P20" s="295">
        <v>42412</v>
      </c>
      <c r="Q20" s="499"/>
    </row>
    <row r="21" spans="1:17" ht="18.75">
      <c r="A21" s="296" t="s">
        <v>381</v>
      </c>
      <c r="B21" s="292">
        <v>12533444827</v>
      </c>
      <c r="C21" s="293">
        <v>54579723</v>
      </c>
      <c r="D21" s="293">
        <v>12478865104</v>
      </c>
      <c r="E21" s="294">
        <v>24241</v>
      </c>
      <c r="F21" s="295">
        <v>42899</v>
      </c>
      <c r="G21" s="292">
        <v>12533444827</v>
      </c>
      <c r="H21" s="293">
        <v>54579723</v>
      </c>
      <c r="I21" s="293">
        <v>12478865104</v>
      </c>
      <c r="J21" s="294">
        <v>24241</v>
      </c>
      <c r="K21" s="295">
        <v>42899</v>
      </c>
      <c r="L21" s="292">
        <v>12533444827</v>
      </c>
      <c r="M21" s="293">
        <v>54579723</v>
      </c>
      <c r="N21" s="293">
        <v>12478865104</v>
      </c>
      <c r="O21" s="294">
        <v>24241</v>
      </c>
      <c r="P21" s="295">
        <v>42899</v>
      </c>
      <c r="Q21" s="499"/>
    </row>
    <row r="22" spans="1:17" ht="18.75">
      <c r="A22" s="296" t="s">
        <v>382</v>
      </c>
      <c r="B22" s="292">
        <v>8510354312</v>
      </c>
      <c r="C22" s="293">
        <v>41551379</v>
      </c>
      <c r="D22" s="293">
        <v>8468802933</v>
      </c>
      <c r="E22" s="294">
        <v>20908</v>
      </c>
      <c r="F22" s="295">
        <v>33754</v>
      </c>
      <c r="G22" s="292">
        <v>8510354312</v>
      </c>
      <c r="H22" s="293">
        <v>41551379</v>
      </c>
      <c r="I22" s="293">
        <v>8468802933</v>
      </c>
      <c r="J22" s="294">
        <v>20908</v>
      </c>
      <c r="K22" s="295">
        <v>33754</v>
      </c>
      <c r="L22" s="292">
        <v>8510354312</v>
      </c>
      <c r="M22" s="293">
        <v>41551379</v>
      </c>
      <c r="N22" s="293">
        <v>8468802933</v>
      </c>
      <c r="O22" s="294">
        <v>20908</v>
      </c>
      <c r="P22" s="295">
        <v>33754</v>
      </c>
      <c r="Q22" s="499"/>
    </row>
    <row r="23" spans="1:17" ht="18.75">
      <c r="A23" s="296" t="s">
        <v>383</v>
      </c>
      <c r="B23" s="292">
        <v>35579740638</v>
      </c>
      <c r="C23" s="293">
        <v>291202440</v>
      </c>
      <c r="D23" s="293">
        <v>35288538198</v>
      </c>
      <c r="E23" s="294">
        <v>69872.100000000006</v>
      </c>
      <c r="F23" s="295">
        <v>42087</v>
      </c>
      <c r="G23" s="292">
        <v>35564373464</v>
      </c>
      <c r="H23" s="293">
        <v>291202440</v>
      </c>
      <c r="I23" s="293">
        <v>35273171024</v>
      </c>
      <c r="J23" s="294">
        <v>69860.100000000006</v>
      </c>
      <c r="K23" s="295">
        <v>42076</v>
      </c>
      <c r="L23" s="292">
        <v>35551198041</v>
      </c>
      <c r="M23" s="293">
        <v>285280110</v>
      </c>
      <c r="N23" s="293">
        <v>35265917931</v>
      </c>
      <c r="O23" s="294">
        <v>69846.100000000006</v>
      </c>
      <c r="P23" s="295">
        <v>42076</v>
      </c>
      <c r="Q23" s="499"/>
    </row>
    <row r="24" spans="1:17" ht="18.75">
      <c r="A24" s="296" t="s">
        <v>384</v>
      </c>
      <c r="B24" s="292">
        <v>1544724139</v>
      </c>
      <c r="C24" s="293">
        <v>29759485</v>
      </c>
      <c r="D24" s="293">
        <v>1514964654</v>
      </c>
      <c r="E24" s="294">
        <v>3252</v>
      </c>
      <c r="F24" s="295">
        <v>38821</v>
      </c>
      <c r="G24" s="292">
        <v>1544724139</v>
      </c>
      <c r="H24" s="293">
        <v>29759485</v>
      </c>
      <c r="I24" s="293">
        <v>1514964654</v>
      </c>
      <c r="J24" s="294">
        <v>3252</v>
      </c>
      <c r="K24" s="295">
        <v>38821</v>
      </c>
      <c r="L24" s="292">
        <v>1544724139</v>
      </c>
      <c r="M24" s="293">
        <v>29759485</v>
      </c>
      <c r="N24" s="293">
        <v>1514964654</v>
      </c>
      <c r="O24" s="294">
        <v>3252</v>
      </c>
      <c r="P24" s="295">
        <v>38821</v>
      </c>
      <c r="Q24" s="499"/>
    </row>
    <row r="25" spans="1:17" ht="18.75">
      <c r="A25" s="296" t="s">
        <v>385</v>
      </c>
      <c r="B25" s="292">
        <v>394597921</v>
      </c>
      <c r="C25" s="293">
        <v>10429883</v>
      </c>
      <c r="D25" s="293">
        <v>384168038</v>
      </c>
      <c r="E25" s="294">
        <v>513</v>
      </c>
      <c r="F25" s="295">
        <v>62405</v>
      </c>
      <c r="G25" s="292">
        <v>394597921</v>
      </c>
      <c r="H25" s="293">
        <v>10429883</v>
      </c>
      <c r="I25" s="293">
        <v>384168038</v>
      </c>
      <c r="J25" s="294">
        <v>513</v>
      </c>
      <c r="K25" s="295">
        <v>62405</v>
      </c>
      <c r="L25" s="292">
        <v>394597921</v>
      </c>
      <c r="M25" s="293">
        <v>10429883</v>
      </c>
      <c r="N25" s="293">
        <v>384168038</v>
      </c>
      <c r="O25" s="294">
        <v>513</v>
      </c>
      <c r="P25" s="295">
        <v>62405</v>
      </c>
      <c r="Q25" s="499"/>
    </row>
    <row r="26" spans="1:17" ht="18.75">
      <c r="A26" s="296" t="s">
        <v>386</v>
      </c>
      <c r="B26" s="292">
        <v>50792816</v>
      </c>
      <c r="C26" s="293">
        <v>18741881</v>
      </c>
      <c r="D26" s="293">
        <v>32050935</v>
      </c>
      <c r="E26" s="294">
        <v>56</v>
      </c>
      <c r="F26" s="295">
        <v>47695</v>
      </c>
      <c r="G26" s="292">
        <v>50792816</v>
      </c>
      <c r="H26" s="293">
        <v>18741881</v>
      </c>
      <c r="I26" s="293">
        <v>32050935</v>
      </c>
      <c r="J26" s="294">
        <v>56</v>
      </c>
      <c r="K26" s="295">
        <v>47695</v>
      </c>
      <c r="L26" s="292">
        <v>50792816</v>
      </c>
      <c r="M26" s="293">
        <v>18741881</v>
      </c>
      <c r="N26" s="293">
        <v>32050935</v>
      </c>
      <c r="O26" s="294">
        <v>56</v>
      </c>
      <c r="P26" s="295">
        <v>47695</v>
      </c>
      <c r="Q26" s="499"/>
    </row>
    <row r="27" spans="1:17" ht="18.75">
      <c r="A27" s="296" t="s">
        <v>387</v>
      </c>
      <c r="B27" s="292">
        <v>1006419649</v>
      </c>
      <c r="C27" s="293">
        <v>34365831</v>
      </c>
      <c r="D27" s="293">
        <v>972053818</v>
      </c>
      <c r="E27" s="294">
        <v>1678</v>
      </c>
      <c r="F27" s="295">
        <v>48274</v>
      </c>
      <c r="G27" s="292">
        <v>1006419649</v>
      </c>
      <c r="H27" s="293">
        <v>34365831</v>
      </c>
      <c r="I27" s="293">
        <v>972053818</v>
      </c>
      <c r="J27" s="294">
        <v>1678</v>
      </c>
      <c r="K27" s="295">
        <v>48274</v>
      </c>
      <c r="L27" s="292">
        <v>1006419649</v>
      </c>
      <c r="M27" s="293">
        <v>34365831</v>
      </c>
      <c r="N27" s="293">
        <v>972053818</v>
      </c>
      <c r="O27" s="294">
        <v>1678</v>
      </c>
      <c r="P27" s="295">
        <v>48274</v>
      </c>
      <c r="Q27" s="499"/>
    </row>
    <row r="28" spans="1:17" ht="18.75">
      <c r="A28" s="296" t="s">
        <v>388</v>
      </c>
      <c r="B28" s="292">
        <v>521269306</v>
      </c>
      <c r="C28" s="293">
        <v>8574552</v>
      </c>
      <c r="D28" s="293">
        <v>512694754</v>
      </c>
      <c r="E28" s="294">
        <v>914</v>
      </c>
      <c r="F28" s="295">
        <v>46745</v>
      </c>
      <c r="G28" s="292">
        <v>521269306</v>
      </c>
      <c r="H28" s="293">
        <v>8574552</v>
      </c>
      <c r="I28" s="293">
        <v>512694754</v>
      </c>
      <c r="J28" s="294">
        <v>914</v>
      </c>
      <c r="K28" s="295">
        <v>46745</v>
      </c>
      <c r="L28" s="292">
        <v>521269306</v>
      </c>
      <c r="M28" s="293">
        <v>8574552</v>
      </c>
      <c r="N28" s="293">
        <v>512694754</v>
      </c>
      <c r="O28" s="294">
        <v>914</v>
      </c>
      <c r="P28" s="295">
        <v>46745</v>
      </c>
      <c r="Q28" s="499"/>
    </row>
    <row r="29" spans="1:17" ht="18.75">
      <c r="A29" s="296" t="s">
        <v>389</v>
      </c>
      <c r="B29" s="292">
        <v>306100908</v>
      </c>
      <c r="C29" s="293">
        <v>12344977</v>
      </c>
      <c r="D29" s="293">
        <v>293755931</v>
      </c>
      <c r="E29" s="294">
        <v>596</v>
      </c>
      <c r="F29" s="295">
        <v>41073</v>
      </c>
      <c r="G29" s="292">
        <v>306100908</v>
      </c>
      <c r="H29" s="293">
        <v>12344977</v>
      </c>
      <c r="I29" s="293">
        <v>293755931</v>
      </c>
      <c r="J29" s="294">
        <v>596</v>
      </c>
      <c r="K29" s="295">
        <v>41073</v>
      </c>
      <c r="L29" s="292">
        <v>306100908</v>
      </c>
      <c r="M29" s="293">
        <v>12344977</v>
      </c>
      <c r="N29" s="293">
        <v>293755931</v>
      </c>
      <c r="O29" s="294">
        <v>596</v>
      </c>
      <c r="P29" s="295">
        <v>41073</v>
      </c>
      <c r="Q29" s="499"/>
    </row>
    <row r="30" spans="1:17" ht="18.75">
      <c r="A30" s="296" t="s">
        <v>390</v>
      </c>
      <c r="B30" s="292">
        <v>2843606851</v>
      </c>
      <c r="C30" s="293">
        <v>43861273</v>
      </c>
      <c r="D30" s="293">
        <v>2799745578</v>
      </c>
      <c r="E30" s="294">
        <v>5839</v>
      </c>
      <c r="F30" s="295">
        <v>39958</v>
      </c>
      <c r="G30" s="292">
        <v>2843606851</v>
      </c>
      <c r="H30" s="293">
        <v>43861273</v>
      </c>
      <c r="I30" s="293">
        <v>2799745578</v>
      </c>
      <c r="J30" s="294">
        <v>5839</v>
      </c>
      <c r="K30" s="295">
        <v>39958</v>
      </c>
      <c r="L30" s="292">
        <v>2843606851</v>
      </c>
      <c r="M30" s="293">
        <v>43861273</v>
      </c>
      <c r="N30" s="293">
        <v>2799745578</v>
      </c>
      <c r="O30" s="294">
        <v>5839</v>
      </c>
      <c r="P30" s="295">
        <v>39958</v>
      </c>
      <c r="Q30" s="499"/>
    </row>
    <row r="31" spans="1:17" ht="18.75">
      <c r="A31" s="296" t="s">
        <v>391</v>
      </c>
      <c r="B31" s="292">
        <v>109815077965</v>
      </c>
      <c r="C31" s="293">
        <v>969001025</v>
      </c>
      <c r="D31" s="293">
        <v>108846076940</v>
      </c>
      <c r="E31" s="294">
        <v>253508.95</v>
      </c>
      <c r="F31" s="295">
        <v>35780</v>
      </c>
      <c r="G31" s="292">
        <v>118242199764</v>
      </c>
      <c r="H31" s="293">
        <v>969001025</v>
      </c>
      <c r="I31" s="293">
        <v>117273198739</v>
      </c>
      <c r="J31" s="294">
        <v>250944.95</v>
      </c>
      <c r="K31" s="295">
        <v>38944</v>
      </c>
      <c r="L31" s="292">
        <v>118242199764</v>
      </c>
      <c r="M31" s="293">
        <v>969001025</v>
      </c>
      <c r="N31" s="293">
        <v>117273198739</v>
      </c>
      <c r="O31" s="294">
        <v>250944.95</v>
      </c>
      <c r="P31" s="295">
        <v>38944</v>
      </c>
      <c r="Q31" s="499"/>
    </row>
    <row r="32" spans="1:17" ht="18.75">
      <c r="A32" s="296" t="s">
        <v>392</v>
      </c>
      <c r="B32" s="292">
        <v>2985968255</v>
      </c>
      <c r="C32" s="293">
        <v>120757344</v>
      </c>
      <c r="D32" s="293">
        <v>2865210911</v>
      </c>
      <c r="E32" s="294">
        <v>6626</v>
      </c>
      <c r="F32" s="295">
        <v>36035</v>
      </c>
      <c r="G32" s="292">
        <v>2982475326</v>
      </c>
      <c r="H32" s="293">
        <v>120757344</v>
      </c>
      <c r="I32" s="293">
        <v>2861717982</v>
      </c>
      <c r="J32" s="294">
        <v>6616</v>
      </c>
      <c r="K32" s="295">
        <v>36045</v>
      </c>
      <c r="L32" s="292">
        <v>2982475326</v>
      </c>
      <c r="M32" s="293">
        <v>120757344</v>
      </c>
      <c r="N32" s="293">
        <v>2861717982</v>
      </c>
      <c r="O32" s="294">
        <v>6616</v>
      </c>
      <c r="P32" s="295">
        <v>36045</v>
      </c>
      <c r="Q32" s="499"/>
    </row>
    <row r="33" spans="1:17" ht="18.75">
      <c r="A33" s="296" t="s">
        <v>393</v>
      </c>
      <c r="B33" s="292">
        <v>1640972031</v>
      </c>
      <c r="C33" s="293">
        <v>38638526</v>
      </c>
      <c r="D33" s="293">
        <v>1602333505</v>
      </c>
      <c r="E33" s="294">
        <v>3418.6099999999997</v>
      </c>
      <c r="F33" s="295">
        <v>39059</v>
      </c>
      <c r="G33" s="292">
        <v>1640972031</v>
      </c>
      <c r="H33" s="293">
        <v>38638526</v>
      </c>
      <c r="I33" s="293">
        <v>1602333505</v>
      </c>
      <c r="J33" s="294">
        <v>3418.6099999999997</v>
      </c>
      <c r="K33" s="295">
        <v>39059</v>
      </c>
      <c r="L33" s="292">
        <v>1640972031</v>
      </c>
      <c r="M33" s="293">
        <v>38638526</v>
      </c>
      <c r="N33" s="293">
        <v>1602333505</v>
      </c>
      <c r="O33" s="294">
        <v>3418.6099999999997</v>
      </c>
      <c r="P33" s="295">
        <v>39059</v>
      </c>
      <c r="Q33" s="499"/>
    </row>
    <row r="34" spans="1:17" ht="18.75">
      <c r="A34" s="296" t="s">
        <v>394</v>
      </c>
      <c r="B34" s="292">
        <v>17441743311</v>
      </c>
      <c r="C34" s="293">
        <v>5501526675</v>
      </c>
      <c r="D34" s="293">
        <v>11940216636</v>
      </c>
      <c r="E34" s="294">
        <v>25220</v>
      </c>
      <c r="F34" s="295">
        <v>39454</v>
      </c>
      <c r="G34" s="292">
        <v>17441743311</v>
      </c>
      <c r="H34" s="293">
        <v>5501526675</v>
      </c>
      <c r="I34" s="293">
        <v>11940216636</v>
      </c>
      <c r="J34" s="294">
        <v>25290</v>
      </c>
      <c r="K34" s="295">
        <v>39344</v>
      </c>
      <c r="L34" s="292">
        <v>17441743311</v>
      </c>
      <c r="M34" s="293">
        <v>5501526675</v>
      </c>
      <c r="N34" s="293">
        <v>11940216636</v>
      </c>
      <c r="O34" s="294">
        <v>25290</v>
      </c>
      <c r="P34" s="295">
        <v>39344</v>
      </c>
      <c r="Q34" s="499"/>
    </row>
    <row r="35" spans="1:17" ht="18.75">
      <c r="A35" s="296" t="s">
        <v>395</v>
      </c>
      <c r="B35" s="292">
        <v>70094497</v>
      </c>
      <c r="C35" s="293">
        <v>1890912</v>
      </c>
      <c r="D35" s="293">
        <v>68203585</v>
      </c>
      <c r="E35" s="294">
        <v>104</v>
      </c>
      <c r="F35" s="295">
        <v>54650</v>
      </c>
      <c r="G35" s="292">
        <v>70094497</v>
      </c>
      <c r="H35" s="293">
        <v>1890912</v>
      </c>
      <c r="I35" s="293">
        <v>68203585</v>
      </c>
      <c r="J35" s="294">
        <v>104</v>
      </c>
      <c r="K35" s="295">
        <v>54650</v>
      </c>
      <c r="L35" s="292">
        <v>70094497</v>
      </c>
      <c r="M35" s="293">
        <v>1890912</v>
      </c>
      <c r="N35" s="293">
        <v>68203585</v>
      </c>
      <c r="O35" s="294">
        <v>104</v>
      </c>
      <c r="P35" s="295">
        <v>54650</v>
      </c>
      <c r="Q35" s="499"/>
    </row>
    <row r="36" spans="1:17" ht="18.75">
      <c r="A36" s="296" t="s">
        <v>396</v>
      </c>
      <c r="B36" s="292">
        <v>106143315</v>
      </c>
      <c r="C36" s="293">
        <v>864182</v>
      </c>
      <c r="D36" s="293">
        <v>105279133</v>
      </c>
      <c r="E36" s="294">
        <v>212</v>
      </c>
      <c r="F36" s="295">
        <v>41383</v>
      </c>
      <c r="G36" s="292">
        <v>106143315</v>
      </c>
      <c r="H36" s="293">
        <v>864182</v>
      </c>
      <c r="I36" s="293">
        <v>105279133</v>
      </c>
      <c r="J36" s="294">
        <v>212</v>
      </c>
      <c r="K36" s="295">
        <v>41383</v>
      </c>
      <c r="L36" s="292">
        <v>106143315</v>
      </c>
      <c r="M36" s="293">
        <v>864182</v>
      </c>
      <c r="N36" s="293">
        <v>105279133</v>
      </c>
      <c r="O36" s="294">
        <v>212</v>
      </c>
      <c r="P36" s="295">
        <v>41383</v>
      </c>
      <c r="Q36" s="499"/>
    </row>
    <row r="37" spans="1:17" ht="18.75">
      <c r="A37" s="296" t="s">
        <v>397</v>
      </c>
      <c r="B37" s="292">
        <v>615362636</v>
      </c>
      <c r="C37" s="293">
        <v>0</v>
      </c>
      <c r="D37" s="293">
        <v>615362636</v>
      </c>
      <c r="E37" s="294">
        <v>1289</v>
      </c>
      <c r="F37" s="295">
        <v>39783</v>
      </c>
      <c r="G37" s="292">
        <v>645362636</v>
      </c>
      <c r="H37" s="293">
        <v>30000000</v>
      </c>
      <c r="I37" s="293">
        <v>615362636</v>
      </c>
      <c r="J37" s="294">
        <v>1289</v>
      </c>
      <c r="K37" s="295">
        <v>39783</v>
      </c>
      <c r="L37" s="292">
        <v>645362636</v>
      </c>
      <c r="M37" s="293">
        <v>30000000</v>
      </c>
      <c r="N37" s="293">
        <v>615362636</v>
      </c>
      <c r="O37" s="294">
        <v>1289</v>
      </c>
      <c r="P37" s="295">
        <v>39783</v>
      </c>
      <c r="Q37" s="499"/>
    </row>
    <row r="38" spans="1:17" ht="18.75">
      <c r="A38" s="296" t="s">
        <v>398</v>
      </c>
      <c r="B38" s="292">
        <v>2003840264</v>
      </c>
      <c r="C38" s="293">
        <v>2604419</v>
      </c>
      <c r="D38" s="293">
        <v>2001235845</v>
      </c>
      <c r="E38" s="294">
        <v>4935</v>
      </c>
      <c r="F38" s="295">
        <v>33793</v>
      </c>
      <c r="G38" s="292">
        <v>2003840264</v>
      </c>
      <c r="H38" s="293">
        <v>2604419</v>
      </c>
      <c r="I38" s="293">
        <v>2001235845</v>
      </c>
      <c r="J38" s="294">
        <v>4935</v>
      </c>
      <c r="K38" s="295">
        <v>33793</v>
      </c>
      <c r="L38" s="292">
        <v>2003840264</v>
      </c>
      <c r="M38" s="293">
        <v>2604419</v>
      </c>
      <c r="N38" s="293">
        <v>2001235845</v>
      </c>
      <c r="O38" s="294">
        <v>4935</v>
      </c>
      <c r="P38" s="295">
        <v>33793</v>
      </c>
      <c r="Q38" s="499"/>
    </row>
    <row r="39" spans="1:17" ht="18.75">
      <c r="A39" s="296" t="s">
        <v>399</v>
      </c>
      <c r="B39" s="292">
        <v>106590715</v>
      </c>
      <c r="C39" s="293">
        <v>93813</v>
      </c>
      <c r="D39" s="293">
        <v>106496902</v>
      </c>
      <c r="E39" s="294">
        <v>185</v>
      </c>
      <c r="F39" s="295">
        <v>47972</v>
      </c>
      <c r="G39" s="292">
        <v>106590715</v>
      </c>
      <c r="H39" s="293">
        <v>93813</v>
      </c>
      <c r="I39" s="293">
        <v>106496902</v>
      </c>
      <c r="J39" s="294">
        <v>185</v>
      </c>
      <c r="K39" s="295">
        <v>47972</v>
      </c>
      <c r="L39" s="292">
        <v>106590715</v>
      </c>
      <c r="M39" s="293">
        <v>93813</v>
      </c>
      <c r="N39" s="293">
        <v>106496902</v>
      </c>
      <c r="O39" s="294">
        <v>185</v>
      </c>
      <c r="P39" s="295">
        <v>47972</v>
      </c>
      <c r="Q39" s="499"/>
    </row>
    <row r="40" spans="1:17" ht="18.75">
      <c r="A40" s="296" t="s">
        <v>400</v>
      </c>
      <c r="B40" s="292">
        <v>177815857</v>
      </c>
      <c r="C40" s="293">
        <v>2315524</v>
      </c>
      <c r="D40" s="293">
        <v>175500333</v>
      </c>
      <c r="E40" s="294">
        <v>281</v>
      </c>
      <c r="F40" s="295">
        <v>52046</v>
      </c>
      <c r="G40" s="292">
        <v>177815857</v>
      </c>
      <c r="H40" s="293">
        <v>2315524</v>
      </c>
      <c r="I40" s="293">
        <v>175500333</v>
      </c>
      <c r="J40" s="294">
        <v>281</v>
      </c>
      <c r="K40" s="295">
        <v>52046</v>
      </c>
      <c r="L40" s="292">
        <v>177815857</v>
      </c>
      <c r="M40" s="293">
        <v>2315524</v>
      </c>
      <c r="N40" s="293">
        <v>175500333</v>
      </c>
      <c r="O40" s="294">
        <v>281</v>
      </c>
      <c r="P40" s="295">
        <v>52046</v>
      </c>
      <c r="Q40" s="499"/>
    </row>
    <row r="41" spans="1:17" ht="18.75">
      <c r="A41" s="296" t="s">
        <v>401</v>
      </c>
      <c r="B41" s="292">
        <v>142727747</v>
      </c>
      <c r="C41" s="293">
        <v>2003182</v>
      </c>
      <c r="D41" s="293">
        <v>140724565</v>
      </c>
      <c r="E41" s="294">
        <v>244</v>
      </c>
      <c r="F41" s="295">
        <v>48062</v>
      </c>
      <c r="G41" s="292">
        <v>142727747</v>
      </c>
      <c r="H41" s="293">
        <v>2003182</v>
      </c>
      <c r="I41" s="293">
        <v>140724565</v>
      </c>
      <c r="J41" s="294">
        <v>244</v>
      </c>
      <c r="K41" s="295">
        <v>48062</v>
      </c>
      <c r="L41" s="292">
        <v>142727747</v>
      </c>
      <c r="M41" s="293">
        <v>2003182</v>
      </c>
      <c r="N41" s="293">
        <v>140724565</v>
      </c>
      <c r="O41" s="294">
        <v>244</v>
      </c>
      <c r="P41" s="295">
        <v>48062</v>
      </c>
      <c r="Q41" s="499"/>
    </row>
    <row r="42" spans="1:17" ht="18.75">
      <c r="A42" s="296" t="s">
        <v>402</v>
      </c>
      <c r="B42" s="292">
        <v>109234571</v>
      </c>
      <c r="C42" s="293">
        <v>4034252</v>
      </c>
      <c r="D42" s="293">
        <v>105200319</v>
      </c>
      <c r="E42" s="294">
        <v>265</v>
      </c>
      <c r="F42" s="295">
        <v>33082</v>
      </c>
      <c r="G42" s="292">
        <v>109234571</v>
      </c>
      <c r="H42" s="293">
        <v>4034252</v>
      </c>
      <c r="I42" s="293">
        <v>105200319</v>
      </c>
      <c r="J42" s="294">
        <v>265</v>
      </c>
      <c r="K42" s="295">
        <v>33082</v>
      </c>
      <c r="L42" s="292">
        <v>109234571</v>
      </c>
      <c r="M42" s="293">
        <v>4034252</v>
      </c>
      <c r="N42" s="293">
        <v>105200319</v>
      </c>
      <c r="O42" s="294">
        <v>265</v>
      </c>
      <c r="P42" s="295">
        <v>33082</v>
      </c>
      <c r="Q42" s="499"/>
    </row>
    <row r="43" spans="1:17" ht="18.75">
      <c r="A43" s="296" t="s">
        <v>403</v>
      </c>
      <c r="B43" s="292">
        <v>111380562</v>
      </c>
      <c r="C43" s="293">
        <v>38126200</v>
      </c>
      <c r="D43" s="293">
        <v>73254362</v>
      </c>
      <c r="E43" s="294">
        <v>129</v>
      </c>
      <c r="F43" s="295">
        <v>47322</v>
      </c>
      <c r="G43" s="292">
        <v>111380562</v>
      </c>
      <c r="H43" s="293">
        <v>38126200</v>
      </c>
      <c r="I43" s="293">
        <v>73254362</v>
      </c>
      <c r="J43" s="294">
        <v>129</v>
      </c>
      <c r="K43" s="295">
        <v>47322</v>
      </c>
      <c r="L43" s="292">
        <v>111380562</v>
      </c>
      <c r="M43" s="293">
        <v>38126200</v>
      </c>
      <c r="N43" s="293">
        <v>73254362</v>
      </c>
      <c r="O43" s="294">
        <v>129</v>
      </c>
      <c r="P43" s="295">
        <v>47322</v>
      </c>
      <c r="Q43" s="499"/>
    </row>
    <row r="44" spans="1:17" ht="18.75">
      <c r="A44" s="296" t="s">
        <v>404</v>
      </c>
      <c r="B44" s="292">
        <v>12555409</v>
      </c>
      <c r="C44" s="293">
        <v>5166000</v>
      </c>
      <c r="D44" s="293">
        <v>7389409</v>
      </c>
      <c r="E44" s="294">
        <v>12</v>
      </c>
      <c r="F44" s="295">
        <v>51315</v>
      </c>
      <c r="G44" s="292">
        <v>12555409</v>
      </c>
      <c r="H44" s="293">
        <v>5166000</v>
      </c>
      <c r="I44" s="293">
        <v>7389409</v>
      </c>
      <c r="J44" s="294">
        <v>12</v>
      </c>
      <c r="K44" s="295">
        <v>51315</v>
      </c>
      <c r="L44" s="292">
        <v>12555409</v>
      </c>
      <c r="M44" s="293">
        <v>5166000</v>
      </c>
      <c r="N44" s="293">
        <v>7389409</v>
      </c>
      <c r="O44" s="294">
        <v>12</v>
      </c>
      <c r="P44" s="295">
        <v>51315</v>
      </c>
      <c r="Q44" s="499"/>
    </row>
    <row r="45" spans="1:17" ht="18.75">
      <c r="A45" s="296" t="s">
        <v>405</v>
      </c>
      <c r="B45" s="292">
        <v>52095812</v>
      </c>
      <c r="C45" s="293">
        <v>1161073</v>
      </c>
      <c r="D45" s="293">
        <v>50934739</v>
      </c>
      <c r="E45" s="294">
        <v>76</v>
      </c>
      <c r="F45" s="295">
        <v>55849</v>
      </c>
      <c r="G45" s="292">
        <v>52095812</v>
      </c>
      <c r="H45" s="293">
        <v>1161073</v>
      </c>
      <c r="I45" s="293">
        <v>50934739</v>
      </c>
      <c r="J45" s="294">
        <v>76</v>
      </c>
      <c r="K45" s="295">
        <v>55849</v>
      </c>
      <c r="L45" s="292">
        <v>52095812</v>
      </c>
      <c r="M45" s="293">
        <v>1161073</v>
      </c>
      <c r="N45" s="293">
        <v>50934739</v>
      </c>
      <c r="O45" s="294">
        <v>76</v>
      </c>
      <c r="P45" s="295">
        <v>55849</v>
      </c>
      <c r="Q45" s="499"/>
    </row>
    <row r="46" spans="1:17" ht="18.75">
      <c r="A46" s="296" t="s">
        <v>406</v>
      </c>
      <c r="B46" s="292">
        <v>0</v>
      </c>
      <c r="C46" s="293">
        <v>0</v>
      </c>
      <c r="D46" s="293">
        <v>0</v>
      </c>
      <c r="E46" s="294">
        <v>0</v>
      </c>
      <c r="F46" s="295">
        <v>0</v>
      </c>
      <c r="G46" s="292">
        <v>0</v>
      </c>
      <c r="H46" s="293">
        <v>0</v>
      </c>
      <c r="I46" s="293">
        <v>0</v>
      </c>
      <c r="J46" s="294">
        <v>0</v>
      </c>
      <c r="K46" s="295">
        <v>0</v>
      </c>
      <c r="L46" s="292">
        <v>0</v>
      </c>
      <c r="M46" s="293">
        <v>0</v>
      </c>
      <c r="N46" s="293">
        <v>0</v>
      </c>
      <c r="O46" s="294">
        <v>0</v>
      </c>
      <c r="P46" s="295">
        <v>0</v>
      </c>
      <c r="Q46" s="499"/>
    </row>
    <row r="47" spans="1:17" ht="18.75">
      <c r="A47" s="296" t="s">
        <v>407</v>
      </c>
      <c r="B47" s="292">
        <v>13943398</v>
      </c>
      <c r="C47" s="293">
        <v>1200000</v>
      </c>
      <c r="D47" s="293">
        <v>12743398</v>
      </c>
      <c r="E47" s="294">
        <v>18</v>
      </c>
      <c r="F47" s="295">
        <v>58997</v>
      </c>
      <c r="G47" s="292">
        <v>13943398</v>
      </c>
      <c r="H47" s="293">
        <v>1200000</v>
      </c>
      <c r="I47" s="293">
        <v>12743398</v>
      </c>
      <c r="J47" s="294">
        <v>18</v>
      </c>
      <c r="K47" s="295">
        <v>58997</v>
      </c>
      <c r="L47" s="292">
        <v>13943398</v>
      </c>
      <c r="M47" s="293">
        <v>1200000</v>
      </c>
      <c r="N47" s="293">
        <v>12743398</v>
      </c>
      <c r="O47" s="294">
        <v>18</v>
      </c>
      <c r="P47" s="295">
        <v>58997</v>
      </c>
      <c r="Q47" s="499"/>
    </row>
    <row r="48" spans="1:17" ht="18.75">
      <c r="A48" s="296" t="s">
        <v>408</v>
      </c>
      <c r="B48" s="292">
        <v>36717742</v>
      </c>
      <c r="C48" s="293">
        <v>15802896</v>
      </c>
      <c r="D48" s="293">
        <v>20914846</v>
      </c>
      <c r="E48" s="294">
        <v>42</v>
      </c>
      <c r="F48" s="295">
        <v>41498</v>
      </c>
      <c r="G48" s="292">
        <v>36717742</v>
      </c>
      <c r="H48" s="293">
        <v>15802896</v>
      </c>
      <c r="I48" s="293">
        <v>20914846</v>
      </c>
      <c r="J48" s="294">
        <v>42</v>
      </c>
      <c r="K48" s="295">
        <v>41498</v>
      </c>
      <c r="L48" s="292">
        <v>36717742</v>
      </c>
      <c r="M48" s="293">
        <v>15802896</v>
      </c>
      <c r="N48" s="293">
        <v>20914846</v>
      </c>
      <c r="O48" s="294">
        <v>42</v>
      </c>
      <c r="P48" s="295">
        <v>41498</v>
      </c>
      <c r="Q48" s="499"/>
    </row>
    <row r="49" spans="1:17" ht="18.75">
      <c r="A49" s="296" t="s">
        <v>409</v>
      </c>
      <c r="B49" s="292">
        <v>14449931</v>
      </c>
      <c r="C49" s="293">
        <v>300000</v>
      </c>
      <c r="D49" s="293">
        <v>14149931</v>
      </c>
      <c r="E49" s="294">
        <v>23</v>
      </c>
      <c r="F49" s="295">
        <v>51268</v>
      </c>
      <c r="G49" s="292">
        <v>14449931</v>
      </c>
      <c r="H49" s="293">
        <v>300000</v>
      </c>
      <c r="I49" s="293">
        <v>14149931</v>
      </c>
      <c r="J49" s="294">
        <v>23</v>
      </c>
      <c r="K49" s="295">
        <v>51268</v>
      </c>
      <c r="L49" s="292">
        <v>14449931</v>
      </c>
      <c r="M49" s="293">
        <v>300000</v>
      </c>
      <c r="N49" s="293">
        <v>14149931</v>
      </c>
      <c r="O49" s="294">
        <v>23</v>
      </c>
      <c r="P49" s="295">
        <v>51268</v>
      </c>
      <c r="Q49" s="499"/>
    </row>
    <row r="50" spans="1:17" ht="18.75">
      <c r="A50" s="296" t="s">
        <v>410</v>
      </c>
      <c r="B50" s="292">
        <v>184455572</v>
      </c>
      <c r="C50" s="293">
        <v>1357529</v>
      </c>
      <c r="D50" s="293">
        <v>183098043</v>
      </c>
      <c r="E50" s="294">
        <v>397</v>
      </c>
      <c r="F50" s="295">
        <v>38434</v>
      </c>
      <c r="G50" s="292">
        <v>184455572</v>
      </c>
      <c r="H50" s="293">
        <v>1357529</v>
      </c>
      <c r="I50" s="293">
        <v>183098043</v>
      </c>
      <c r="J50" s="294">
        <v>397</v>
      </c>
      <c r="K50" s="295">
        <v>38434</v>
      </c>
      <c r="L50" s="292">
        <v>184455572</v>
      </c>
      <c r="M50" s="293">
        <v>1357529</v>
      </c>
      <c r="N50" s="293">
        <v>183098043</v>
      </c>
      <c r="O50" s="294">
        <v>397</v>
      </c>
      <c r="P50" s="295">
        <v>38434</v>
      </c>
      <c r="Q50" s="499"/>
    </row>
    <row r="51" spans="1:17" ht="18.75">
      <c r="A51" s="296" t="s">
        <v>411</v>
      </c>
      <c r="B51" s="292">
        <v>141846375</v>
      </c>
      <c r="C51" s="293">
        <v>209700</v>
      </c>
      <c r="D51" s="293">
        <v>141636675</v>
      </c>
      <c r="E51" s="294">
        <v>200</v>
      </c>
      <c r="F51" s="295">
        <v>59015</v>
      </c>
      <c r="G51" s="292">
        <v>141846375</v>
      </c>
      <c r="H51" s="293">
        <v>209700</v>
      </c>
      <c r="I51" s="293">
        <v>141636675</v>
      </c>
      <c r="J51" s="294">
        <v>200</v>
      </c>
      <c r="K51" s="295">
        <v>59015</v>
      </c>
      <c r="L51" s="292">
        <v>141846375</v>
      </c>
      <c r="M51" s="293">
        <v>209700</v>
      </c>
      <c r="N51" s="293">
        <v>141636675</v>
      </c>
      <c r="O51" s="294">
        <v>200</v>
      </c>
      <c r="P51" s="295">
        <v>59015</v>
      </c>
      <c r="Q51" s="499"/>
    </row>
    <row r="52" spans="1:17" ht="18.75">
      <c r="A52" s="296" t="s">
        <v>412</v>
      </c>
      <c r="B52" s="292">
        <v>245174689</v>
      </c>
      <c r="C52" s="293">
        <v>2393784</v>
      </c>
      <c r="D52" s="293">
        <v>242780905</v>
      </c>
      <c r="E52" s="294">
        <v>332</v>
      </c>
      <c r="F52" s="295">
        <v>60939</v>
      </c>
      <c r="G52" s="292">
        <v>245174689</v>
      </c>
      <c r="H52" s="293">
        <v>2393784</v>
      </c>
      <c r="I52" s="293">
        <v>242780905</v>
      </c>
      <c r="J52" s="294">
        <v>332</v>
      </c>
      <c r="K52" s="295">
        <v>60939</v>
      </c>
      <c r="L52" s="292">
        <v>245174689</v>
      </c>
      <c r="M52" s="293">
        <v>2393784</v>
      </c>
      <c r="N52" s="293">
        <v>242780905</v>
      </c>
      <c r="O52" s="294">
        <v>332</v>
      </c>
      <c r="P52" s="295">
        <v>60939</v>
      </c>
      <c r="Q52" s="499"/>
    </row>
    <row r="53" spans="1:17" ht="18.75">
      <c r="A53" s="296" t="s">
        <v>413</v>
      </c>
      <c r="B53" s="292">
        <v>62408887</v>
      </c>
      <c r="C53" s="293">
        <v>4023835</v>
      </c>
      <c r="D53" s="293">
        <v>58385052</v>
      </c>
      <c r="E53" s="294">
        <v>94</v>
      </c>
      <c r="F53" s="295">
        <v>51760</v>
      </c>
      <c r="G53" s="292">
        <v>62408887</v>
      </c>
      <c r="H53" s="293">
        <v>4023835</v>
      </c>
      <c r="I53" s="293">
        <v>58385052</v>
      </c>
      <c r="J53" s="294">
        <v>94</v>
      </c>
      <c r="K53" s="295">
        <v>51760</v>
      </c>
      <c r="L53" s="292">
        <v>62408887</v>
      </c>
      <c r="M53" s="293">
        <v>4023835</v>
      </c>
      <c r="N53" s="293">
        <v>58385052</v>
      </c>
      <c r="O53" s="294">
        <v>94</v>
      </c>
      <c r="P53" s="295">
        <v>51760</v>
      </c>
      <c r="Q53" s="499"/>
    </row>
    <row r="54" spans="1:17" ht="18.75">
      <c r="A54" s="297" t="s">
        <v>414</v>
      </c>
      <c r="B54" s="292">
        <v>126927970</v>
      </c>
      <c r="C54" s="293">
        <v>579433</v>
      </c>
      <c r="D54" s="293">
        <v>126348537</v>
      </c>
      <c r="E54" s="294">
        <v>193</v>
      </c>
      <c r="F54" s="295">
        <v>54555</v>
      </c>
      <c r="G54" s="292">
        <v>126927970</v>
      </c>
      <c r="H54" s="293">
        <v>579433</v>
      </c>
      <c r="I54" s="293">
        <v>126348537</v>
      </c>
      <c r="J54" s="294">
        <v>193</v>
      </c>
      <c r="K54" s="295">
        <v>54555</v>
      </c>
      <c r="L54" s="292">
        <v>126927970</v>
      </c>
      <c r="M54" s="293">
        <v>579433</v>
      </c>
      <c r="N54" s="293">
        <v>126348537</v>
      </c>
      <c r="O54" s="294">
        <v>193</v>
      </c>
      <c r="P54" s="295">
        <v>54555</v>
      </c>
      <c r="Q54" s="499"/>
    </row>
    <row r="55" spans="1:17" ht="19.5" thickBot="1">
      <c r="A55" s="298" t="s">
        <v>415</v>
      </c>
      <c r="B55" s="292">
        <v>332771814</v>
      </c>
      <c r="C55" s="293">
        <v>27955994</v>
      </c>
      <c r="D55" s="293">
        <v>304815820</v>
      </c>
      <c r="E55" s="294">
        <v>495</v>
      </c>
      <c r="F55" s="295">
        <v>51316</v>
      </c>
      <c r="G55" s="292">
        <v>332771814</v>
      </c>
      <c r="H55" s="293">
        <v>27955994</v>
      </c>
      <c r="I55" s="293">
        <v>304815820</v>
      </c>
      <c r="J55" s="294">
        <v>495</v>
      </c>
      <c r="K55" s="299">
        <v>51316</v>
      </c>
      <c r="L55" s="292">
        <v>332771814</v>
      </c>
      <c r="M55" s="293">
        <v>27955994</v>
      </c>
      <c r="N55" s="293">
        <v>304815820</v>
      </c>
      <c r="O55" s="294">
        <v>495</v>
      </c>
      <c r="P55" s="295">
        <v>51316</v>
      </c>
      <c r="Q55" s="499"/>
    </row>
    <row r="56" spans="1:17" ht="19.5" thickBot="1">
      <c r="A56" s="300" t="s">
        <v>416</v>
      </c>
      <c r="B56" s="301">
        <v>220527865870</v>
      </c>
      <c r="C56" s="302">
        <v>9438166662</v>
      </c>
      <c r="D56" s="302">
        <v>211089699208</v>
      </c>
      <c r="E56" s="303">
        <v>465429.24</v>
      </c>
      <c r="F56" s="304">
        <v>37795</v>
      </c>
      <c r="G56" s="301">
        <v>229422826369</v>
      </c>
      <c r="H56" s="302">
        <v>9424522359</v>
      </c>
      <c r="I56" s="302">
        <v>219998304010</v>
      </c>
      <c r="J56" s="303">
        <v>464011.16000000003</v>
      </c>
      <c r="K56" s="304">
        <v>39510</v>
      </c>
      <c r="L56" s="301">
        <v>229482135816</v>
      </c>
      <c r="M56" s="302">
        <v>9493100029</v>
      </c>
      <c r="N56" s="302">
        <v>219989035787</v>
      </c>
      <c r="O56" s="303">
        <v>463994.16000000003</v>
      </c>
      <c r="P56" s="304">
        <v>39510</v>
      </c>
      <c r="Q56" s="499"/>
    </row>
  </sheetData>
  <mergeCells count="5">
    <mergeCell ref="A2:A3"/>
    <mergeCell ref="B2:P2"/>
    <mergeCell ref="B4:F6"/>
    <mergeCell ref="G4:K6"/>
    <mergeCell ref="L4:P6"/>
  </mergeCells>
  <pageMargins left="0.7" right="0.7" top="0.787401575" bottom="0.787401575" header="0.3" footer="0.3"/>
  <pageSetup orientation="landscape" paperSize="9" scale="45" r:id="rId1"/>
  <colBreaks count="1" manualBreakCount="1">
    <brk id="15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pageSetUpPr fitToPage="1"/>
  </sheetPr>
  <dimension ref="A1:R58"/>
  <sheetViews>
    <sheetView workbookViewId="0" topLeftCell="A1">
      <pane xSplit="2" ySplit="7" topLeftCell="G14" activePane="bottomRight" state="frozen"/>
      <selection pane="topLeft" activeCell="K59" sqref="K59"/>
      <selection pane="bottomLeft" activeCell="K59" sqref="K59"/>
      <selection pane="topRight" activeCell="K59" sqref="K59"/>
      <selection pane="bottomRight" activeCell="R26" sqref="R26"/>
    </sheetView>
  </sheetViews>
  <sheetFormatPr defaultRowHeight="12.75"/>
  <cols>
    <col min="1" max="1" width="9.28571428571429" style="1"/>
    <col min="2" max="2" width="42.7142857142857" style="1" customWidth="1"/>
    <col min="3" max="3" width="0" style="1" hidden="1" customWidth="1"/>
    <col min="4" max="4" width="0" style="1" hidden="1" customWidth="1"/>
    <col min="5" max="5" width="0" style="1" hidden="1" customWidth="1"/>
    <col min="6" max="6" width="0" style="1" hidden="1" customWidth="1"/>
    <col min="7" max="8" width="16.8571428571429" style="1" customWidth="1"/>
    <col min="9" max="9" width="0" style="1" hidden="1" customWidth="1"/>
    <col min="10" max="12" width="15.5714285714286" style="1" customWidth="1"/>
    <col min="13" max="13" width="17" style="1" customWidth="1"/>
    <col min="14" max="15" width="15.2857142857143" style="1" customWidth="1"/>
    <col min="16" max="16" width="10.7142857142857" style="1" customWidth="1"/>
    <col min="17" max="17" width="15.5714285714286" style="1" customWidth="1"/>
    <col min="18" max="18" width="16.7142857142857" style="1" customWidth="1"/>
    <col min="19" max="16384" width="9.28571428571429" style="1"/>
  </cols>
  <sheetData>
    <row r="1" spans="2:14" ht="12.7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 t="s">
        <v>79</v>
      </c>
    </row>
    <row r="2" spans="2:16" ht="12.75">
      <c r="B2" s="18" t="s">
        <v>50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ht="14.25">
      <c r="B3" s="21" t="s">
        <v>176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2:16" ht="12.75">
      <c r="B4" s="565" t="s">
        <v>320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319"/>
      <c r="P4" s="156"/>
    </row>
    <row r="5" spans="2:16" ht="12.7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316"/>
      <c r="P5" s="155"/>
    </row>
    <row r="6" ht="13.5" thickBot="1">
      <c r="O6" s="1" t="s">
        <v>1</v>
      </c>
    </row>
    <row r="7" spans="1:18" ht="46.5" customHeight="1" thickBot="1">
      <c r="A7" s="49" t="s">
        <v>2</v>
      </c>
      <c r="B7" s="55"/>
      <c r="C7" s="312"/>
      <c r="D7" s="68" t="s">
        <v>64</v>
      </c>
      <c r="E7" s="68" t="s">
        <v>63</v>
      </c>
      <c r="F7" s="68" t="s">
        <v>81</v>
      </c>
      <c r="G7" s="68" t="s">
        <v>84</v>
      </c>
      <c r="H7" s="68" t="s">
        <v>142</v>
      </c>
      <c r="I7" s="51" t="s">
        <v>143</v>
      </c>
      <c r="J7" s="51" t="s">
        <v>149</v>
      </c>
      <c r="K7" s="51" t="s">
        <v>165</v>
      </c>
      <c r="L7" s="51">
        <v>2019</v>
      </c>
      <c r="M7" s="51">
        <v>2020</v>
      </c>
      <c r="N7" s="137">
        <v>2021</v>
      </c>
      <c r="O7" s="137">
        <v>2022</v>
      </c>
      <c r="P7" s="68" t="s">
        <v>144</v>
      </c>
      <c r="Q7" s="68" t="s">
        <v>166</v>
      </c>
      <c r="R7" s="132" t="s">
        <v>167</v>
      </c>
    </row>
    <row r="8" spans="1:18" ht="12.75">
      <c r="A8" s="4">
        <v>301</v>
      </c>
      <c r="B8" s="5" t="s">
        <v>4</v>
      </c>
      <c r="C8" s="313"/>
      <c r="D8" s="90" t="s">
        <v>80</v>
      </c>
      <c r="E8" s="69"/>
      <c r="F8" s="90"/>
      <c r="G8" s="90"/>
      <c r="H8" s="90"/>
      <c r="I8" s="48">
        <v>0</v>
      </c>
      <c r="J8" s="48"/>
      <c r="K8" s="48"/>
      <c r="L8" s="48">
        <v>0</v>
      </c>
      <c r="M8" s="48">
        <v>0</v>
      </c>
      <c r="N8" s="48">
        <v>0</v>
      </c>
      <c r="O8" s="48">
        <v>0</v>
      </c>
      <c r="P8" s="139" t="str">
        <f>IF(L8=0," ",IF(L8&gt;0,ROUND(M8/L8*100,1)))</f>
        <v xml:space="preserve"> </v>
      </c>
      <c r="Q8" s="6">
        <f>M8-L8</f>
        <v>0</v>
      </c>
      <c r="R8" s="19">
        <f>M8-K8</f>
        <v>0</v>
      </c>
    </row>
    <row r="9" spans="1:18" ht="12.75">
      <c r="A9" s="7">
        <v>302</v>
      </c>
      <c r="B9" s="8" t="s">
        <v>5</v>
      </c>
      <c r="C9" s="313"/>
      <c r="D9" s="90"/>
      <c r="E9" s="69"/>
      <c r="F9" s="90"/>
      <c r="G9" s="90"/>
      <c r="H9" s="90"/>
      <c r="I9" s="48">
        <v>0</v>
      </c>
      <c r="J9" s="48"/>
      <c r="K9" s="48"/>
      <c r="L9" s="48">
        <v>0</v>
      </c>
      <c r="M9" s="48">
        <v>0</v>
      </c>
      <c r="N9" s="48">
        <v>0</v>
      </c>
      <c r="O9" s="48">
        <v>0</v>
      </c>
      <c r="P9" s="325" t="str">
        <f t="shared" si="0" ref="P9:P57">IF(L9=0," ",IF(L9&gt;0,ROUND(M9/L9*100,1)))</f>
        <v xml:space="preserve"> </v>
      </c>
      <c r="Q9" s="6">
        <f t="shared" si="1" ref="Q9:Q57">M9-L9</f>
        <v>0</v>
      </c>
      <c r="R9" s="19">
        <f t="shared" si="2" ref="R9:R57">M9-K9</f>
        <v>0</v>
      </c>
    </row>
    <row r="10" spans="1:18" ht="12.75">
      <c r="A10" s="7">
        <v>303</v>
      </c>
      <c r="B10" s="8" t="s">
        <v>6</v>
      </c>
      <c r="C10" s="313"/>
      <c r="D10" s="90"/>
      <c r="E10" s="69"/>
      <c r="F10" s="90"/>
      <c r="G10" s="90"/>
      <c r="H10" s="214"/>
      <c r="I10" s="48">
        <v>0</v>
      </c>
      <c r="J10" s="48"/>
      <c r="K10" s="48"/>
      <c r="L10" s="48">
        <v>0</v>
      </c>
      <c r="M10" s="48">
        <v>0</v>
      </c>
      <c r="N10" s="48">
        <v>0</v>
      </c>
      <c r="O10" s="48">
        <v>0</v>
      </c>
      <c r="P10" s="325" t="str">
        <f t="shared" si="0"/>
        <v xml:space="preserve"> </v>
      </c>
      <c r="Q10" s="6">
        <f t="shared" si="1"/>
        <v>0</v>
      </c>
      <c r="R10" s="19">
        <f t="shared" si="2"/>
        <v>0</v>
      </c>
    </row>
    <row r="11" spans="1:18" ht="12.75">
      <c r="A11" s="7">
        <v>304</v>
      </c>
      <c r="B11" s="8" t="s">
        <v>7</v>
      </c>
      <c r="C11" s="313"/>
      <c r="D11" s="90">
        <v>35853416</v>
      </c>
      <c r="E11" s="90">
        <v>37892018</v>
      </c>
      <c r="F11" s="90">
        <v>48128610</v>
      </c>
      <c r="G11" s="90">
        <v>25348495</v>
      </c>
      <c r="H11" s="215">
        <v>62486218</v>
      </c>
      <c r="I11" s="48">
        <v>213601015</v>
      </c>
      <c r="J11" s="48">
        <v>76370185</v>
      </c>
      <c r="K11" s="48">
        <v>52475590.68</v>
      </c>
      <c r="L11" s="48">
        <v>65506346</v>
      </c>
      <c r="M11" s="48">
        <v>68565665</v>
      </c>
      <c r="N11" s="48">
        <v>68565665</v>
      </c>
      <c r="O11" s="48">
        <v>68565665</v>
      </c>
      <c r="P11" s="325">
        <f t="shared" si="0"/>
        <v>104.70</v>
      </c>
      <c r="Q11" s="6">
        <f t="shared" si="1"/>
        <v>3059319</v>
      </c>
      <c r="R11" s="19">
        <f t="shared" si="2"/>
        <v>16090074.32</v>
      </c>
    </row>
    <row r="12" spans="1:18" ht="12.75">
      <c r="A12" s="7">
        <v>305</v>
      </c>
      <c r="B12" s="8" t="s">
        <v>8</v>
      </c>
      <c r="C12" s="313"/>
      <c r="D12" s="90"/>
      <c r="E12" s="90"/>
      <c r="F12" s="90"/>
      <c r="G12" s="90"/>
      <c r="H12" s="214"/>
      <c r="I12" s="48">
        <v>0</v>
      </c>
      <c r="J12" s="48"/>
      <c r="K12" s="48"/>
      <c r="L12" s="48">
        <v>0</v>
      </c>
      <c r="M12" s="48">
        <v>0</v>
      </c>
      <c r="N12" s="48">
        <v>0</v>
      </c>
      <c r="O12" s="48">
        <v>0</v>
      </c>
      <c r="P12" s="325" t="str">
        <f t="shared" si="0"/>
        <v xml:space="preserve"> </v>
      </c>
      <c r="Q12" s="6">
        <f t="shared" si="1"/>
        <v>0</v>
      </c>
      <c r="R12" s="19">
        <f t="shared" si="2"/>
        <v>0</v>
      </c>
    </row>
    <row r="13" spans="1:18" ht="12.75">
      <c r="A13" s="7">
        <v>306</v>
      </c>
      <c r="B13" s="8" t="s">
        <v>9</v>
      </c>
      <c r="C13" s="313"/>
      <c r="D13" s="90"/>
      <c r="E13" s="90"/>
      <c r="F13" s="90"/>
      <c r="G13" s="90"/>
      <c r="H13" s="214"/>
      <c r="I13" s="48">
        <v>9959766</v>
      </c>
      <c r="J13" s="48">
        <v>9986613</v>
      </c>
      <c r="K13" s="48">
        <v>25152000</v>
      </c>
      <c r="L13" s="48">
        <v>25336000</v>
      </c>
      <c r="M13" s="48">
        <v>27870000</v>
      </c>
      <c r="N13" s="48">
        <v>27870000</v>
      </c>
      <c r="O13" s="48">
        <v>27870000</v>
      </c>
      <c r="P13" s="325">
        <f t="shared" si="0"/>
        <v>110</v>
      </c>
      <c r="Q13" s="6">
        <f t="shared" si="1"/>
        <v>2534000</v>
      </c>
      <c r="R13" s="19">
        <f t="shared" si="2"/>
        <v>2718000</v>
      </c>
    </row>
    <row r="14" spans="1:18" ht="12.75">
      <c r="A14" s="7">
        <v>307</v>
      </c>
      <c r="B14" s="8" t="s">
        <v>10</v>
      </c>
      <c r="C14" s="313"/>
      <c r="D14" s="90">
        <v>390059215</v>
      </c>
      <c r="E14" s="90">
        <v>392783546</v>
      </c>
      <c r="F14" s="90">
        <v>404628797</v>
      </c>
      <c r="G14" s="90">
        <v>432981090</v>
      </c>
      <c r="H14" s="215">
        <v>397053604</v>
      </c>
      <c r="I14" s="48">
        <v>434652000</v>
      </c>
      <c r="J14" s="48">
        <v>483263504</v>
      </c>
      <c r="K14" s="48">
        <v>502546197.19999999</v>
      </c>
      <c r="L14" s="48">
        <v>414486150</v>
      </c>
      <c r="M14" s="48">
        <v>439363000</v>
      </c>
      <c r="N14" s="48">
        <v>439363000</v>
      </c>
      <c r="O14" s="48">
        <v>439363000</v>
      </c>
      <c r="P14" s="325">
        <f t="shared" si="0"/>
        <v>106</v>
      </c>
      <c r="Q14" s="6">
        <f t="shared" si="1"/>
        <v>24876850</v>
      </c>
      <c r="R14" s="19">
        <f t="shared" si="2"/>
        <v>-63183197.199999988</v>
      </c>
    </row>
    <row r="15" spans="1:18" ht="12.75">
      <c r="A15" s="7">
        <v>308</v>
      </c>
      <c r="B15" s="8" t="s">
        <v>11</v>
      </c>
      <c r="C15" s="313"/>
      <c r="D15" s="90"/>
      <c r="E15" s="90"/>
      <c r="F15" s="90"/>
      <c r="G15" s="90"/>
      <c r="H15" s="214"/>
      <c r="I15" s="48">
        <v>0</v>
      </c>
      <c r="J15" s="48"/>
      <c r="K15" s="48"/>
      <c r="L15" s="48">
        <v>0</v>
      </c>
      <c r="M15" s="48">
        <v>0</v>
      </c>
      <c r="N15" s="48">
        <v>0</v>
      </c>
      <c r="O15" s="48">
        <v>0</v>
      </c>
      <c r="P15" s="325" t="str">
        <f t="shared" si="0"/>
        <v xml:space="preserve"> </v>
      </c>
      <c r="Q15" s="6">
        <f t="shared" si="1"/>
        <v>0</v>
      </c>
      <c r="R15" s="19">
        <f t="shared" si="2"/>
        <v>0</v>
      </c>
    </row>
    <row r="16" spans="1:18" ht="12.75">
      <c r="A16" s="7">
        <v>309</v>
      </c>
      <c r="B16" s="8" t="s">
        <v>12</v>
      </c>
      <c r="C16" s="313"/>
      <c r="D16" s="90"/>
      <c r="E16" s="90"/>
      <c r="F16" s="90"/>
      <c r="G16" s="90"/>
      <c r="H16" s="214"/>
      <c r="I16" s="48">
        <v>0</v>
      </c>
      <c r="J16" s="48"/>
      <c r="K16" s="48"/>
      <c r="L16" s="48">
        <v>0</v>
      </c>
      <c r="M16" s="48">
        <v>0</v>
      </c>
      <c r="N16" s="48">
        <v>0</v>
      </c>
      <c r="O16" s="48">
        <v>0</v>
      </c>
      <c r="P16" s="325" t="str">
        <f t="shared" si="0"/>
        <v xml:space="preserve"> </v>
      </c>
      <c r="Q16" s="6">
        <f t="shared" si="1"/>
        <v>0</v>
      </c>
      <c r="R16" s="19">
        <f t="shared" si="2"/>
        <v>0</v>
      </c>
    </row>
    <row r="17" spans="1:18" ht="12.75">
      <c r="A17" s="7">
        <v>312</v>
      </c>
      <c r="B17" s="8" t="s">
        <v>13</v>
      </c>
      <c r="C17" s="313"/>
      <c r="D17" s="90"/>
      <c r="E17" s="90"/>
      <c r="F17" s="90"/>
      <c r="G17" s="90"/>
      <c r="H17" s="214"/>
      <c r="I17" s="48">
        <v>0</v>
      </c>
      <c r="J17" s="48"/>
      <c r="K17" s="48"/>
      <c r="L17" s="48">
        <v>0</v>
      </c>
      <c r="M17" s="48">
        <v>0</v>
      </c>
      <c r="N17" s="48">
        <v>0</v>
      </c>
      <c r="O17" s="48">
        <v>0</v>
      </c>
      <c r="P17" s="325" t="str">
        <f t="shared" si="0"/>
        <v xml:space="preserve"> </v>
      </c>
      <c r="Q17" s="6">
        <f t="shared" si="1"/>
        <v>0</v>
      </c>
      <c r="R17" s="19">
        <f t="shared" si="2"/>
        <v>0</v>
      </c>
    </row>
    <row r="18" spans="1:18" ht="12.75">
      <c r="A18" s="7">
        <v>313</v>
      </c>
      <c r="B18" s="8" t="s">
        <v>14</v>
      </c>
      <c r="C18" s="313"/>
      <c r="D18" s="90">
        <v>32000</v>
      </c>
      <c r="E18" s="90"/>
      <c r="F18" s="90"/>
      <c r="G18" s="90"/>
      <c r="H18" s="214"/>
      <c r="I18" s="48">
        <v>9977391</v>
      </c>
      <c r="J18" s="48">
        <v>9977391</v>
      </c>
      <c r="K18" s="48">
        <v>59966498</v>
      </c>
      <c r="L18" s="6">
        <v>80000000</v>
      </c>
      <c r="M18" s="48">
        <v>90000000</v>
      </c>
      <c r="N18" s="48">
        <v>95000000</v>
      </c>
      <c r="O18" s="48">
        <v>95000000</v>
      </c>
      <c r="P18" s="325">
        <f t="shared" si="0"/>
        <v>112.50</v>
      </c>
      <c r="Q18" s="6">
        <f t="shared" si="1"/>
        <v>10000000</v>
      </c>
      <c r="R18" s="19">
        <f t="shared" si="2"/>
        <v>30033502</v>
      </c>
    </row>
    <row r="19" spans="1:18" ht="12.75">
      <c r="A19" s="7">
        <v>314</v>
      </c>
      <c r="B19" s="8" t="s">
        <v>15</v>
      </c>
      <c r="C19" s="313"/>
      <c r="D19" s="90">
        <v>522774195</v>
      </c>
      <c r="E19" s="90">
        <v>581310521</v>
      </c>
      <c r="F19" s="90">
        <v>574367012</v>
      </c>
      <c r="G19" s="90">
        <v>419573711</v>
      </c>
      <c r="H19" s="215">
        <v>364055447</v>
      </c>
      <c r="I19" s="48">
        <v>568176000</v>
      </c>
      <c r="J19" s="48">
        <v>640874187</v>
      </c>
      <c r="K19" s="48">
        <v>640661660.57000005</v>
      </c>
      <c r="L19" s="6">
        <v>798822402</v>
      </c>
      <c r="M19" s="48">
        <v>846047000</v>
      </c>
      <c r="N19" s="48">
        <v>846047000</v>
      </c>
      <c r="O19" s="48">
        <v>846828000</v>
      </c>
      <c r="P19" s="325">
        <f t="shared" si="0"/>
        <v>105.90</v>
      </c>
      <c r="Q19" s="6">
        <f t="shared" si="1"/>
        <v>47224598</v>
      </c>
      <c r="R19" s="19">
        <f t="shared" si="2"/>
        <v>205385339.42999995</v>
      </c>
    </row>
    <row r="20" spans="1:18" ht="12.75">
      <c r="A20" s="7">
        <v>315</v>
      </c>
      <c r="B20" s="8" t="s">
        <v>16</v>
      </c>
      <c r="C20" s="313"/>
      <c r="D20" s="90">
        <v>237251</v>
      </c>
      <c r="E20" s="90">
        <v>233996</v>
      </c>
      <c r="F20" s="90"/>
      <c r="G20" s="90"/>
      <c r="H20" s="214"/>
      <c r="I20" s="48">
        <v>153231534</v>
      </c>
      <c r="J20" s="48">
        <v>153231534</v>
      </c>
      <c r="K20" s="48">
        <v>248590202</v>
      </c>
      <c r="L20" s="6">
        <v>257600199</v>
      </c>
      <c r="M20" s="6">
        <v>268619750</v>
      </c>
      <c r="N20" s="48">
        <v>276485141</v>
      </c>
      <c r="O20" s="48">
        <v>276485141</v>
      </c>
      <c r="P20" s="325">
        <f t="shared" si="0"/>
        <v>104.30</v>
      </c>
      <c r="Q20" s="6">
        <f t="shared" si="1"/>
        <v>11019551</v>
      </c>
      <c r="R20" s="19">
        <f t="shared" si="2"/>
        <v>20029548</v>
      </c>
    </row>
    <row r="21" spans="1:18" ht="12.75">
      <c r="A21" s="7">
        <v>317</v>
      </c>
      <c r="B21" s="8" t="s">
        <v>17</v>
      </c>
      <c r="C21" s="313"/>
      <c r="D21" s="90"/>
      <c r="E21" s="90"/>
      <c r="F21" s="90"/>
      <c r="G21" s="90"/>
      <c r="H21" s="214"/>
      <c r="I21" s="48">
        <v>0</v>
      </c>
      <c r="J21" s="48"/>
      <c r="K21" s="48"/>
      <c r="L21" s="6">
        <v>0</v>
      </c>
      <c r="M21" s="6">
        <v>0</v>
      </c>
      <c r="N21" s="48">
        <v>0</v>
      </c>
      <c r="O21" s="48">
        <v>0</v>
      </c>
      <c r="P21" s="325" t="str">
        <f t="shared" si="0"/>
        <v xml:space="preserve"> </v>
      </c>
      <c r="Q21" s="6">
        <f t="shared" si="1"/>
        <v>0</v>
      </c>
      <c r="R21" s="19">
        <f t="shared" si="2"/>
        <v>0</v>
      </c>
    </row>
    <row r="22" spans="1:18" ht="12.75">
      <c r="A22" s="7">
        <v>321</v>
      </c>
      <c r="B22" s="8" t="s">
        <v>18</v>
      </c>
      <c r="C22" s="313"/>
      <c r="D22" s="90">
        <v>2960552435</v>
      </c>
      <c r="E22" s="90">
        <v>3231735069</v>
      </c>
      <c r="F22" s="90">
        <v>3425016820</v>
      </c>
      <c r="G22" s="90">
        <v>3642304285</v>
      </c>
      <c r="H22" s="215">
        <v>3927443928</v>
      </c>
      <c r="I22" s="48">
        <v>4257427000</v>
      </c>
      <c r="J22" s="48">
        <v>4107793016</v>
      </c>
      <c r="K22" s="48">
        <v>4048479235.7199998</v>
      </c>
      <c r="L22" s="6">
        <v>4390784794</v>
      </c>
      <c r="M22" s="6">
        <v>4360546000</v>
      </c>
      <c r="N22" s="48">
        <v>4330546000</v>
      </c>
      <c r="O22" s="48">
        <v>4675711386</v>
      </c>
      <c r="P22" s="325">
        <f t="shared" si="0"/>
        <v>99.30</v>
      </c>
      <c r="Q22" s="6">
        <f t="shared" si="1"/>
        <v>-30238794</v>
      </c>
      <c r="R22" s="19">
        <f t="shared" si="2"/>
        <v>312066764.28000021</v>
      </c>
    </row>
    <row r="23" spans="1:18" ht="12.75">
      <c r="A23" s="7">
        <v>322</v>
      </c>
      <c r="B23" s="8" t="s">
        <v>19</v>
      </c>
      <c r="C23" s="313"/>
      <c r="D23" s="90">
        <v>3455991140</v>
      </c>
      <c r="E23" s="90">
        <v>2550250279</v>
      </c>
      <c r="F23" s="90">
        <v>1600624066</v>
      </c>
      <c r="G23" s="90">
        <v>846268866.78999996</v>
      </c>
      <c r="H23" s="215">
        <f>640374977-109755378</f>
        <v>530619599</v>
      </c>
      <c r="I23" s="48">
        <v>1481927000</v>
      </c>
      <c r="J23" s="48">
        <f>1927225968-832938044</f>
        <v>1094287924</v>
      </c>
      <c r="K23" s="48">
        <v>1678200384.03</v>
      </c>
      <c r="L23" s="6">
        <v>2049604421</v>
      </c>
      <c r="M23" s="6">
        <v>2779037000</v>
      </c>
      <c r="N23" s="48">
        <v>2151061058</v>
      </c>
      <c r="O23" s="48">
        <v>1446000000</v>
      </c>
      <c r="P23" s="325">
        <f t="shared" si="0"/>
        <v>135.60</v>
      </c>
      <c r="Q23" s="6">
        <f t="shared" si="1"/>
        <v>729432579</v>
      </c>
      <c r="R23" s="19">
        <f t="shared" si="2"/>
        <v>1100836615.97</v>
      </c>
    </row>
    <row r="24" spans="1:18" ht="12.75">
      <c r="A24" s="7">
        <v>327</v>
      </c>
      <c r="B24" s="8" t="s">
        <v>20</v>
      </c>
      <c r="C24" s="313"/>
      <c r="D24" s="90"/>
      <c r="E24" s="90"/>
      <c r="F24" s="90"/>
      <c r="G24" s="90"/>
      <c r="H24" s="214"/>
      <c r="I24" s="48">
        <v>15332946</v>
      </c>
      <c r="J24" s="48">
        <v>15332946</v>
      </c>
      <c r="K24" s="48">
        <v>50025520</v>
      </c>
      <c r="L24" s="6">
        <v>50000000</v>
      </c>
      <c r="M24" s="6">
        <v>55000000</v>
      </c>
      <c r="N24" s="48">
        <v>88906600</v>
      </c>
      <c r="O24" s="48">
        <v>88906600</v>
      </c>
      <c r="P24" s="325">
        <f t="shared" si="0"/>
        <v>110</v>
      </c>
      <c r="Q24" s="6">
        <f t="shared" si="1"/>
        <v>5000000</v>
      </c>
      <c r="R24" s="19">
        <f t="shared" si="2"/>
        <v>4974480</v>
      </c>
    </row>
    <row r="25" spans="1:18" ht="12.75">
      <c r="A25" s="7">
        <v>328</v>
      </c>
      <c r="B25" s="8" t="s">
        <v>21</v>
      </c>
      <c r="C25" s="313"/>
      <c r="D25" s="90"/>
      <c r="E25" s="90"/>
      <c r="F25" s="90"/>
      <c r="G25" s="90"/>
      <c r="H25" s="214"/>
      <c r="I25" s="48">
        <v>0</v>
      </c>
      <c r="J25" s="48"/>
      <c r="K25" s="48"/>
      <c r="L25" s="6">
        <v>0</v>
      </c>
      <c r="M25" s="6">
        <v>0</v>
      </c>
      <c r="N25" s="6">
        <v>0</v>
      </c>
      <c r="O25" s="48">
        <v>0</v>
      </c>
      <c r="P25" s="325" t="str">
        <f t="shared" si="0"/>
        <v xml:space="preserve"> </v>
      </c>
      <c r="Q25" s="6">
        <f t="shared" si="1"/>
        <v>0</v>
      </c>
      <c r="R25" s="19">
        <f t="shared" si="2"/>
        <v>0</v>
      </c>
    </row>
    <row r="26" spans="1:18" ht="12.75">
      <c r="A26" s="7">
        <v>329</v>
      </c>
      <c r="B26" s="8" t="s">
        <v>22</v>
      </c>
      <c r="C26" s="313"/>
      <c r="D26" s="90">
        <v>719724511</v>
      </c>
      <c r="E26" s="90">
        <v>763570138</v>
      </c>
      <c r="F26" s="90">
        <v>769736789</v>
      </c>
      <c r="G26" s="90">
        <v>815597280</v>
      </c>
      <c r="H26" s="215">
        <v>858044769</v>
      </c>
      <c r="I26" s="48">
        <v>876284000</v>
      </c>
      <c r="J26" s="48">
        <v>875396428</v>
      </c>
      <c r="K26" s="48">
        <v>881842710.51999998</v>
      </c>
      <c r="L26" s="6">
        <v>982682952</v>
      </c>
      <c r="M26" s="6">
        <v>1010789000</v>
      </c>
      <c r="N26" s="6">
        <v>1146989000</v>
      </c>
      <c r="O26" s="6">
        <v>1146989000</v>
      </c>
      <c r="P26" s="325">
        <f t="shared" si="0"/>
        <v>102.90</v>
      </c>
      <c r="Q26" s="6">
        <f t="shared" si="1"/>
        <v>28106048</v>
      </c>
      <c r="R26" s="19">
        <f t="shared" si="2"/>
        <v>128946289.48000002</v>
      </c>
    </row>
    <row r="27" spans="1:18" ht="12.75">
      <c r="A27" s="7">
        <v>333</v>
      </c>
      <c r="B27" s="8" t="s">
        <v>23</v>
      </c>
      <c r="C27" s="313"/>
      <c r="D27" s="90">
        <v>10154309134</v>
      </c>
      <c r="E27" s="90">
        <v>10382873126</v>
      </c>
      <c r="F27" s="90">
        <v>11384728433</v>
      </c>
      <c r="G27" s="90">
        <v>12007760720</v>
      </c>
      <c r="H27" s="215">
        <f>15296759600-2629199948</f>
        <v>12667559652</v>
      </c>
      <c r="I27" s="48">
        <v>13928304293</v>
      </c>
      <c r="J27" s="48">
        <f>16690662807-3692053574</f>
        <v>12998609233</v>
      </c>
      <c r="K27" s="48">
        <v>14290245130.629999</v>
      </c>
      <c r="L27" s="6">
        <v>14613874459</v>
      </c>
      <c r="M27" s="6">
        <v>14446977081</v>
      </c>
      <c r="N27" s="6">
        <v>14229884851</v>
      </c>
      <c r="O27" s="6">
        <v>14205509851</v>
      </c>
      <c r="P27" s="325">
        <f t="shared" si="0"/>
        <v>98.90</v>
      </c>
      <c r="Q27" s="6">
        <f t="shared" si="1"/>
        <v>-166897378</v>
      </c>
      <c r="R27" s="19">
        <f t="shared" si="2"/>
        <v>156731950.37000084</v>
      </c>
    </row>
    <row r="28" spans="1:18" ht="12.75">
      <c r="A28" s="7">
        <v>334</v>
      </c>
      <c r="B28" s="8" t="s">
        <v>24</v>
      </c>
      <c r="C28" s="313"/>
      <c r="D28" s="90">
        <v>376113466</v>
      </c>
      <c r="E28" s="90">
        <v>471429410</v>
      </c>
      <c r="F28" s="90">
        <v>477986876</v>
      </c>
      <c r="G28" s="90">
        <v>469407688</v>
      </c>
      <c r="H28" s="215">
        <v>375571758</v>
      </c>
      <c r="I28" s="48">
        <v>518042000</v>
      </c>
      <c r="J28" s="48">
        <v>388182239</v>
      </c>
      <c r="K28" s="48">
        <v>598107223</v>
      </c>
      <c r="L28" s="6">
        <v>487296138</v>
      </c>
      <c r="M28" s="6">
        <v>579854000</v>
      </c>
      <c r="N28" s="6">
        <v>522697000</v>
      </c>
      <c r="O28" s="6">
        <v>523697000</v>
      </c>
      <c r="P28" s="325">
        <f t="shared" si="0"/>
        <v>119</v>
      </c>
      <c r="Q28" s="6">
        <f t="shared" si="1"/>
        <v>92557862</v>
      </c>
      <c r="R28" s="19">
        <f t="shared" si="2"/>
        <v>-18253223</v>
      </c>
    </row>
    <row r="29" spans="1:18" ht="12.75">
      <c r="A29" s="7">
        <v>335</v>
      </c>
      <c r="B29" s="8" t="s">
        <v>25</v>
      </c>
      <c r="C29" s="313"/>
      <c r="D29" s="90">
        <v>959825671</v>
      </c>
      <c r="E29" s="90">
        <v>1227497656</v>
      </c>
      <c r="F29" s="90">
        <v>1229185488</v>
      </c>
      <c r="G29" s="90">
        <v>1333473353</v>
      </c>
      <c r="H29" s="215">
        <v>1190098792</v>
      </c>
      <c r="I29" s="48">
        <v>1547348512</v>
      </c>
      <c r="J29" s="48">
        <v>1588405901</v>
      </c>
      <c r="K29" s="48">
        <v>1821967590.46</v>
      </c>
      <c r="L29" s="6">
        <v>1552100648</v>
      </c>
      <c r="M29" s="6">
        <v>1710156512</v>
      </c>
      <c r="N29" s="6">
        <v>1765056912</v>
      </c>
      <c r="O29" s="6">
        <v>1765256912</v>
      </c>
      <c r="P29" s="325">
        <f t="shared" si="0"/>
        <v>110.20</v>
      </c>
      <c r="Q29" s="6">
        <f t="shared" si="1"/>
        <v>158055864</v>
      </c>
      <c r="R29" s="19">
        <f t="shared" si="2"/>
        <v>-111811078.46000004</v>
      </c>
    </row>
    <row r="30" spans="1:18" ht="12.75">
      <c r="A30" s="7">
        <v>336</v>
      </c>
      <c r="B30" s="8" t="s">
        <v>26</v>
      </c>
      <c r="C30" s="313"/>
      <c r="D30" s="90">
        <v>6393356</v>
      </c>
      <c r="E30" s="90">
        <v>6786844</v>
      </c>
      <c r="F30" s="90">
        <v>8630760</v>
      </c>
      <c r="G30" s="90">
        <v>7735828</v>
      </c>
      <c r="H30" s="215">
        <v>7890470</v>
      </c>
      <c r="I30" s="48">
        <v>0</v>
      </c>
      <c r="J30" s="48">
        <v>7050373</v>
      </c>
      <c r="K30" s="48">
        <v>7231005.7999999998</v>
      </c>
      <c r="L30" s="6">
        <v>0</v>
      </c>
      <c r="M30" s="6">
        <v>0</v>
      </c>
      <c r="N30" s="6">
        <v>0</v>
      </c>
      <c r="O30" s="6">
        <v>0</v>
      </c>
      <c r="P30" s="325" t="str">
        <f t="shared" si="0"/>
        <v xml:space="preserve"> </v>
      </c>
      <c r="Q30" s="6">
        <f t="shared" si="1"/>
        <v>0</v>
      </c>
      <c r="R30" s="19">
        <f t="shared" si="2"/>
        <v>-7231005.7999999998</v>
      </c>
    </row>
    <row r="31" spans="1:18" ht="12.75">
      <c r="A31" s="7">
        <v>343</v>
      </c>
      <c r="B31" s="8" t="s">
        <v>27</v>
      </c>
      <c r="C31" s="313"/>
      <c r="D31" s="90"/>
      <c r="E31" s="90"/>
      <c r="F31" s="90"/>
      <c r="G31" s="90"/>
      <c r="H31" s="214"/>
      <c r="I31" s="48">
        <v>0</v>
      </c>
      <c r="J31" s="48"/>
      <c r="K31" s="48"/>
      <c r="L31" s="6">
        <v>0</v>
      </c>
      <c r="M31" s="6">
        <v>0</v>
      </c>
      <c r="N31" s="6">
        <v>0</v>
      </c>
      <c r="O31" s="6">
        <v>0</v>
      </c>
      <c r="P31" s="325" t="str">
        <f t="shared" si="0"/>
        <v xml:space="preserve"> </v>
      </c>
      <c r="Q31" s="6">
        <f t="shared" si="1"/>
        <v>0</v>
      </c>
      <c r="R31" s="19">
        <f t="shared" si="2"/>
        <v>0</v>
      </c>
    </row>
    <row r="32" spans="1:18" ht="12.75">
      <c r="A32" s="7">
        <v>344</v>
      </c>
      <c r="B32" s="8" t="s">
        <v>28</v>
      </c>
      <c r="C32" s="313"/>
      <c r="D32" s="90"/>
      <c r="E32" s="90"/>
      <c r="F32" s="90"/>
      <c r="G32" s="90"/>
      <c r="H32" s="214"/>
      <c r="I32" s="48">
        <v>0</v>
      </c>
      <c r="J32" s="48"/>
      <c r="K32" s="48"/>
      <c r="L32" s="6">
        <v>0</v>
      </c>
      <c r="M32" s="6">
        <v>0</v>
      </c>
      <c r="N32" s="6">
        <v>0</v>
      </c>
      <c r="O32" s="6">
        <v>0</v>
      </c>
      <c r="P32" s="325" t="str">
        <f t="shared" si="0"/>
        <v xml:space="preserve"> </v>
      </c>
      <c r="Q32" s="6">
        <f t="shared" si="1"/>
        <v>0</v>
      </c>
      <c r="R32" s="19">
        <f t="shared" si="2"/>
        <v>0</v>
      </c>
    </row>
    <row r="33" spans="1:18" ht="12.75">
      <c r="A33" s="7">
        <v>345</v>
      </c>
      <c r="B33" s="8" t="s">
        <v>29</v>
      </c>
      <c r="C33" s="313"/>
      <c r="D33" s="90"/>
      <c r="E33" s="90"/>
      <c r="F33" s="90"/>
      <c r="G33" s="90"/>
      <c r="H33" s="214"/>
      <c r="I33" s="48">
        <v>0</v>
      </c>
      <c r="J33" s="48"/>
      <c r="K33" s="48"/>
      <c r="L33" s="6">
        <v>0</v>
      </c>
      <c r="M33" s="6">
        <v>0</v>
      </c>
      <c r="N33" s="6">
        <v>0</v>
      </c>
      <c r="O33" s="6">
        <v>0</v>
      </c>
      <c r="P33" s="325" t="str">
        <f t="shared" si="0"/>
        <v xml:space="preserve"> </v>
      </c>
      <c r="Q33" s="6">
        <f t="shared" si="1"/>
        <v>0</v>
      </c>
      <c r="R33" s="19">
        <f t="shared" si="2"/>
        <v>0</v>
      </c>
    </row>
    <row r="34" spans="1:18" ht="12.75">
      <c r="A34" s="7">
        <v>346</v>
      </c>
      <c r="B34" s="8" t="s">
        <v>30</v>
      </c>
      <c r="C34" s="313"/>
      <c r="D34" s="90"/>
      <c r="E34" s="90"/>
      <c r="F34" s="90"/>
      <c r="G34" s="90"/>
      <c r="H34" s="214"/>
      <c r="I34" s="48">
        <v>0</v>
      </c>
      <c r="J34" s="48"/>
      <c r="K34" s="48"/>
      <c r="L34" s="6">
        <v>0</v>
      </c>
      <c r="M34" s="6">
        <v>0</v>
      </c>
      <c r="N34" s="6">
        <v>0</v>
      </c>
      <c r="O34" s="6">
        <v>0</v>
      </c>
      <c r="P34" s="325" t="str">
        <f t="shared" si="0"/>
        <v xml:space="preserve"> </v>
      </c>
      <c r="Q34" s="6">
        <f t="shared" si="1"/>
        <v>0</v>
      </c>
      <c r="R34" s="19">
        <f t="shared" si="2"/>
        <v>0</v>
      </c>
    </row>
    <row r="35" spans="1:18" ht="12.75">
      <c r="A35" s="7">
        <v>348</v>
      </c>
      <c r="B35" s="8" t="s">
        <v>31</v>
      </c>
      <c r="C35" s="313"/>
      <c r="D35" s="90"/>
      <c r="E35" s="90"/>
      <c r="F35" s="90"/>
      <c r="G35" s="90"/>
      <c r="H35" s="214"/>
      <c r="I35" s="48">
        <v>0</v>
      </c>
      <c r="J35" s="48"/>
      <c r="K35" s="48"/>
      <c r="L35" s="6">
        <v>0</v>
      </c>
      <c r="M35" s="6">
        <v>0</v>
      </c>
      <c r="N35" s="6">
        <v>0</v>
      </c>
      <c r="O35" s="6">
        <v>0</v>
      </c>
      <c r="P35" s="325" t="str">
        <f t="shared" si="0"/>
        <v xml:space="preserve"> </v>
      </c>
      <c r="Q35" s="6">
        <f t="shared" si="1"/>
        <v>0</v>
      </c>
      <c r="R35" s="19">
        <f t="shared" si="2"/>
        <v>0</v>
      </c>
    </row>
    <row r="36" spans="1:18" ht="12.75">
      <c r="A36" s="7">
        <v>349</v>
      </c>
      <c r="B36" s="8" t="s">
        <v>32</v>
      </c>
      <c r="C36" s="313"/>
      <c r="D36" s="90"/>
      <c r="E36" s="90"/>
      <c r="F36" s="90"/>
      <c r="G36" s="90"/>
      <c r="H36" s="214"/>
      <c r="I36" s="48">
        <v>0</v>
      </c>
      <c r="J36" s="48"/>
      <c r="K36" s="48"/>
      <c r="L36" s="6">
        <v>0</v>
      </c>
      <c r="M36" s="6">
        <v>0</v>
      </c>
      <c r="N36" s="6">
        <v>0</v>
      </c>
      <c r="O36" s="6">
        <v>0</v>
      </c>
      <c r="P36" s="325" t="str">
        <f t="shared" si="0"/>
        <v xml:space="preserve"> </v>
      </c>
      <c r="Q36" s="6">
        <f t="shared" si="1"/>
        <v>0</v>
      </c>
      <c r="R36" s="19">
        <f t="shared" si="2"/>
        <v>0</v>
      </c>
    </row>
    <row r="37" spans="1:18" ht="12.75">
      <c r="A37" s="7">
        <v>353</v>
      </c>
      <c r="B37" s="8" t="s">
        <v>33</v>
      </c>
      <c r="C37" s="313"/>
      <c r="D37" s="90"/>
      <c r="E37" s="90"/>
      <c r="F37" s="90"/>
      <c r="G37" s="90"/>
      <c r="H37" s="214"/>
      <c r="I37" s="48">
        <v>0</v>
      </c>
      <c r="J37" s="48"/>
      <c r="K37" s="48"/>
      <c r="L37" s="6">
        <v>0</v>
      </c>
      <c r="M37" s="6">
        <v>0</v>
      </c>
      <c r="N37" s="6">
        <v>0</v>
      </c>
      <c r="O37" s="6">
        <v>0</v>
      </c>
      <c r="P37" s="325" t="str">
        <f t="shared" si="0"/>
        <v xml:space="preserve"> </v>
      </c>
      <c r="Q37" s="6">
        <f t="shared" si="1"/>
        <v>0</v>
      </c>
      <c r="R37" s="19">
        <f t="shared" si="2"/>
        <v>0</v>
      </c>
    </row>
    <row r="38" spans="1:18" ht="12.75">
      <c r="A38" s="7">
        <v>355</v>
      </c>
      <c r="B38" s="8" t="s">
        <v>34</v>
      </c>
      <c r="C38" s="313"/>
      <c r="D38" s="90"/>
      <c r="E38" s="90"/>
      <c r="F38" s="90"/>
      <c r="G38" s="90"/>
      <c r="H38" s="214">
        <v>2931128</v>
      </c>
      <c r="I38" s="48">
        <v>0</v>
      </c>
      <c r="J38" s="48">
        <v>4286063</v>
      </c>
      <c r="K38" s="48">
        <v>7772729.2000000002</v>
      </c>
      <c r="L38" s="6">
        <v>0</v>
      </c>
      <c r="M38" s="6">
        <v>0</v>
      </c>
      <c r="N38" s="6">
        <v>0</v>
      </c>
      <c r="O38" s="6">
        <v>0</v>
      </c>
      <c r="P38" s="325" t="str">
        <f t="shared" si="0"/>
        <v xml:space="preserve"> </v>
      </c>
      <c r="Q38" s="6">
        <f t="shared" si="1"/>
        <v>0</v>
      </c>
      <c r="R38" s="19">
        <f t="shared" si="2"/>
        <v>-7772729.2000000002</v>
      </c>
    </row>
    <row r="39" spans="1:18" ht="12.75">
      <c r="A39" s="7">
        <v>358</v>
      </c>
      <c r="B39" s="8" t="s">
        <v>35</v>
      </c>
      <c r="C39" s="313"/>
      <c r="D39" s="90"/>
      <c r="E39" s="90"/>
      <c r="F39" s="90"/>
      <c r="G39" s="90"/>
      <c r="H39" s="214"/>
      <c r="I39" s="48">
        <v>0</v>
      </c>
      <c r="J39" s="48"/>
      <c r="K39" s="48"/>
      <c r="L39" s="6">
        <v>0</v>
      </c>
      <c r="M39" s="6">
        <v>0</v>
      </c>
      <c r="N39" s="6">
        <v>0</v>
      </c>
      <c r="O39" s="6">
        <v>0</v>
      </c>
      <c r="P39" s="325" t="str">
        <f t="shared" si="0"/>
        <v xml:space="preserve"> </v>
      </c>
      <c r="Q39" s="6">
        <f t="shared" si="1"/>
        <v>0</v>
      </c>
      <c r="R39" s="19">
        <f t="shared" si="2"/>
        <v>0</v>
      </c>
    </row>
    <row r="40" spans="1:18" ht="12.75">
      <c r="A40" s="7">
        <v>359</v>
      </c>
      <c r="B40" s="8" t="s">
        <v>139</v>
      </c>
      <c r="C40" s="313"/>
      <c r="D40" s="90"/>
      <c r="E40" s="90"/>
      <c r="F40" s="90"/>
      <c r="G40" s="90"/>
      <c r="H40" s="214"/>
      <c r="I40" s="48"/>
      <c r="J40" s="48"/>
      <c r="K40" s="48"/>
      <c r="L40" s="6">
        <v>0</v>
      </c>
      <c r="M40" s="6">
        <v>0</v>
      </c>
      <c r="N40" s="6">
        <v>0</v>
      </c>
      <c r="O40" s="6">
        <v>0</v>
      </c>
      <c r="P40" s="325" t="str">
        <f t="shared" si="0"/>
        <v xml:space="preserve"> </v>
      </c>
      <c r="Q40" s="6">
        <f t="shared" si="1"/>
        <v>0</v>
      </c>
      <c r="R40" s="19">
        <f t="shared" si="2"/>
        <v>0</v>
      </c>
    </row>
    <row r="41" spans="1:18" ht="12.75">
      <c r="A41" s="7">
        <v>361</v>
      </c>
      <c r="B41" s="8" t="s">
        <v>36</v>
      </c>
      <c r="C41" s="313"/>
      <c r="D41" s="90">
        <v>4673063618</v>
      </c>
      <c r="E41" s="90">
        <v>4455706082</v>
      </c>
      <c r="F41" s="90">
        <v>4452258267</v>
      </c>
      <c r="G41" s="90">
        <v>4693749106</v>
      </c>
      <c r="H41" s="180">
        <v>4777930160</v>
      </c>
      <c r="I41" s="48">
        <v>5133171000</v>
      </c>
      <c r="J41" s="48">
        <v>5231659779</v>
      </c>
      <c r="K41" s="48">
        <v>5619720168.2399998</v>
      </c>
      <c r="L41" s="6">
        <v>6022421793</v>
      </c>
      <c r="M41" s="6">
        <v>6512043000</v>
      </c>
      <c r="N41" s="6">
        <v>6585685230</v>
      </c>
      <c r="O41" s="6">
        <v>6585685230</v>
      </c>
      <c r="P41" s="325">
        <f t="shared" si="0"/>
        <v>108.10</v>
      </c>
      <c r="Q41" s="6">
        <f t="shared" si="1"/>
        <v>489621207</v>
      </c>
      <c r="R41" s="19">
        <f t="shared" si="2"/>
        <v>892322831.76000023</v>
      </c>
    </row>
    <row r="42" spans="1:18" ht="12.75">
      <c r="A42" s="7">
        <v>362</v>
      </c>
      <c r="B42" s="8" t="s">
        <v>164</v>
      </c>
      <c r="C42" s="313"/>
      <c r="D42" s="90"/>
      <c r="E42" s="90"/>
      <c r="F42" s="90"/>
      <c r="G42" s="90"/>
      <c r="H42" s="180"/>
      <c r="I42" s="48"/>
      <c r="J42" s="48"/>
      <c r="K42" s="48"/>
      <c r="L42" s="48">
        <v>0</v>
      </c>
      <c r="M42" s="48">
        <v>0</v>
      </c>
      <c r="N42" s="48">
        <v>0</v>
      </c>
      <c r="O42" s="6">
        <v>0</v>
      </c>
      <c r="P42" s="325" t="str">
        <f t="shared" si="0"/>
        <v xml:space="preserve"> </v>
      </c>
      <c r="Q42" s="6">
        <f t="shared" si="1"/>
        <v>0</v>
      </c>
      <c r="R42" s="19">
        <f t="shared" si="2"/>
        <v>0</v>
      </c>
    </row>
    <row r="43" spans="1:18" ht="25.5">
      <c r="A43" s="7">
        <v>371</v>
      </c>
      <c r="B43" s="188" t="s">
        <v>140</v>
      </c>
      <c r="C43" s="314"/>
      <c r="D43" s="90"/>
      <c r="E43" s="90"/>
      <c r="F43" s="90"/>
      <c r="G43" s="90"/>
      <c r="H43" s="214"/>
      <c r="I43" s="48"/>
      <c r="J43" s="48"/>
      <c r="K43" s="48"/>
      <c r="L43" s="48">
        <v>0</v>
      </c>
      <c r="M43" s="48">
        <v>0</v>
      </c>
      <c r="N43" s="48">
        <v>0</v>
      </c>
      <c r="O43" s="48">
        <v>0</v>
      </c>
      <c r="P43" s="325" t="str">
        <f t="shared" si="0"/>
        <v xml:space="preserve"> </v>
      </c>
      <c r="Q43" s="6">
        <f t="shared" si="1"/>
        <v>0</v>
      </c>
      <c r="R43" s="19">
        <f t="shared" si="2"/>
        <v>0</v>
      </c>
    </row>
    <row r="44" spans="1:18" ht="12.75">
      <c r="A44" s="7">
        <v>372</v>
      </c>
      <c r="B44" s="8" t="s">
        <v>37</v>
      </c>
      <c r="C44" s="313"/>
      <c r="D44" s="90"/>
      <c r="E44" s="90"/>
      <c r="F44" s="90"/>
      <c r="G44" s="90"/>
      <c r="H44" s="214"/>
      <c r="I44" s="48">
        <v>0</v>
      </c>
      <c r="J44" s="48"/>
      <c r="K44" s="48"/>
      <c r="L44" s="48">
        <v>0</v>
      </c>
      <c r="M44" s="48">
        <v>0</v>
      </c>
      <c r="N44" s="48">
        <v>0</v>
      </c>
      <c r="O44" s="48">
        <v>0</v>
      </c>
      <c r="P44" s="325" t="str">
        <f t="shared" si="0"/>
        <v xml:space="preserve"> </v>
      </c>
      <c r="Q44" s="6">
        <f t="shared" si="1"/>
        <v>0</v>
      </c>
      <c r="R44" s="19">
        <f t="shared" si="2"/>
        <v>0</v>
      </c>
    </row>
    <row r="45" spans="1:18" ht="12.75">
      <c r="A45" s="7">
        <v>373</v>
      </c>
      <c r="B45" s="8" t="s">
        <v>141</v>
      </c>
      <c r="C45" s="313"/>
      <c r="D45" s="90"/>
      <c r="E45" s="90"/>
      <c r="F45" s="90"/>
      <c r="G45" s="90"/>
      <c r="H45" s="214"/>
      <c r="I45" s="48"/>
      <c r="J45" s="48"/>
      <c r="K45" s="48"/>
      <c r="L45" s="48">
        <v>0</v>
      </c>
      <c r="M45" s="48">
        <v>0</v>
      </c>
      <c r="N45" s="48">
        <v>0</v>
      </c>
      <c r="O45" s="48">
        <v>0</v>
      </c>
      <c r="P45" s="325" t="str">
        <f t="shared" si="0"/>
        <v xml:space="preserve"> </v>
      </c>
      <c r="Q45" s="6">
        <f t="shared" si="1"/>
        <v>0</v>
      </c>
      <c r="R45" s="19">
        <f t="shared" si="2"/>
        <v>0</v>
      </c>
    </row>
    <row r="46" spans="1:18" ht="12.75">
      <c r="A46" s="7">
        <v>374</v>
      </c>
      <c r="B46" s="8" t="s">
        <v>38</v>
      </c>
      <c r="C46" s="313"/>
      <c r="D46" s="90"/>
      <c r="E46" s="90"/>
      <c r="F46" s="90"/>
      <c r="G46" s="90"/>
      <c r="H46" s="214"/>
      <c r="I46" s="48">
        <v>0</v>
      </c>
      <c r="J46" s="48"/>
      <c r="K46" s="48"/>
      <c r="L46" s="48">
        <v>0</v>
      </c>
      <c r="M46" s="48">
        <v>0</v>
      </c>
      <c r="N46" s="48">
        <v>0</v>
      </c>
      <c r="O46" s="48">
        <v>0</v>
      </c>
      <c r="P46" s="325" t="str">
        <f t="shared" si="0"/>
        <v xml:space="preserve"> </v>
      </c>
      <c r="Q46" s="6">
        <f t="shared" si="1"/>
        <v>0</v>
      </c>
      <c r="R46" s="19">
        <f t="shared" si="2"/>
        <v>0</v>
      </c>
    </row>
    <row r="47" spans="1:18" ht="12.75">
      <c r="A47" s="7">
        <v>375</v>
      </c>
      <c r="B47" s="8" t="s">
        <v>39</v>
      </c>
      <c r="C47" s="313"/>
      <c r="D47" s="90"/>
      <c r="E47" s="90"/>
      <c r="F47" s="90"/>
      <c r="G47" s="90"/>
      <c r="H47" s="214"/>
      <c r="I47" s="48">
        <v>0</v>
      </c>
      <c r="J47" s="48"/>
      <c r="K47" s="48"/>
      <c r="L47" s="48">
        <v>0</v>
      </c>
      <c r="M47" s="48">
        <v>0</v>
      </c>
      <c r="N47" s="48">
        <v>0</v>
      </c>
      <c r="O47" s="48">
        <v>0</v>
      </c>
      <c r="P47" s="325" t="str">
        <f t="shared" si="0"/>
        <v xml:space="preserve"> </v>
      </c>
      <c r="Q47" s="6">
        <f t="shared" si="1"/>
        <v>0</v>
      </c>
      <c r="R47" s="19">
        <f t="shared" si="2"/>
        <v>0</v>
      </c>
    </row>
    <row r="48" spans="1:18" ht="12.75">
      <c r="A48" s="7">
        <v>376</v>
      </c>
      <c r="B48" s="8" t="s">
        <v>40</v>
      </c>
      <c r="C48" s="313"/>
      <c r="D48" s="90"/>
      <c r="E48" s="90"/>
      <c r="F48" s="90"/>
      <c r="G48" s="90"/>
      <c r="H48" s="214"/>
      <c r="I48" s="48">
        <v>0</v>
      </c>
      <c r="J48" s="48"/>
      <c r="K48" s="48"/>
      <c r="L48" s="48">
        <v>0</v>
      </c>
      <c r="M48" s="48">
        <v>0</v>
      </c>
      <c r="N48" s="48">
        <v>0</v>
      </c>
      <c r="O48" s="48">
        <v>0</v>
      </c>
      <c r="P48" s="325" t="str">
        <f t="shared" si="0"/>
        <v xml:space="preserve"> </v>
      </c>
      <c r="Q48" s="6">
        <f t="shared" si="1"/>
        <v>0</v>
      </c>
      <c r="R48" s="19">
        <f t="shared" si="2"/>
        <v>0</v>
      </c>
    </row>
    <row r="49" spans="1:18" ht="12.75">
      <c r="A49" s="7">
        <v>377</v>
      </c>
      <c r="B49" s="8" t="s">
        <v>41</v>
      </c>
      <c r="C49" s="313"/>
      <c r="D49" s="90">
        <v>1898575137</v>
      </c>
      <c r="E49" s="90">
        <v>2603070222</v>
      </c>
      <c r="F49" s="90">
        <v>2908811182</v>
      </c>
      <c r="G49" s="90">
        <v>3135577939</v>
      </c>
      <c r="H49" s="215">
        <f>2823387117-720642</f>
        <v>2822666475</v>
      </c>
      <c r="I49" s="48">
        <v>3513956000</v>
      </c>
      <c r="J49" s="48">
        <f>2923837660-12309382</f>
        <v>2911528278</v>
      </c>
      <c r="K49" s="48">
        <v>2858977209.5300002</v>
      </c>
      <c r="L49" s="48">
        <v>4174081785</v>
      </c>
      <c r="M49" s="48">
        <v>3773804449</v>
      </c>
      <c r="N49" s="48">
        <v>4894515000</v>
      </c>
      <c r="O49" s="48">
        <v>5808682215</v>
      </c>
      <c r="P49" s="325">
        <f t="shared" si="0"/>
        <v>90.40</v>
      </c>
      <c r="Q49" s="6">
        <f t="shared" si="1"/>
        <v>-400277336</v>
      </c>
      <c r="R49" s="19">
        <f t="shared" si="2"/>
        <v>914827239.46999979</v>
      </c>
    </row>
    <row r="50" spans="1:18" ht="25.5">
      <c r="A50" s="7">
        <v>378</v>
      </c>
      <c r="B50" s="188" t="s">
        <v>148</v>
      </c>
      <c r="C50" s="314"/>
      <c r="D50" s="90"/>
      <c r="E50" s="90"/>
      <c r="F50" s="90"/>
      <c r="G50" s="90"/>
      <c r="H50" s="215"/>
      <c r="I50" s="48"/>
      <c r="J50" s="48"/>
      <c r="K50" s="48"/>
      <c r="L50" s="48">
        <v>0</v>
      </c>
      <c r="M50" s="48">
        <v>0</v>
      </c>
      <c r="N50" s="48">
        <v>0</v>
      </c>
      <c r="O50" s="48">
        <v>0</v>
      </c>
      <c r="P50" s="325" t="str">
        <f t="shared" si="0"/>
        <v xml:space="preserve"> </v>
      </c>
      <c r="Q50" s="6">
        <f t="shared" si="1"/>
        <v>0</v>
      </c>
      <c r="R50" s="19">
        <f t="shared" si="2"/>
        <v>0</v>
      </c>
    </row>
    <row r="51" spans="1:18" ht="12.75">
      <c r="A51" s="7">
        <v>381</v>
      </c>
      <c r="B51" s="8" t="s">
        <v>42</v>
      </c>
      <c r="C51" s="313"/>
      <c r="D51" s="90"/>
      <c r="E51" s="90"/>
      <c r="F51" s="90"/>
      <c r="G51" s="90"/>
      <c r="H51" s="214"/>
      <c r="I51" s="48">
        <v>0</v>
      </c>
      <c r="J51" s="48"/>
      <c r="K51" s="48"/>
      <c r="L51" s="48">
        <v>0</v>
      </c>
      <c r="M51" s="48">
        <v>0</v>
      </c>
      <c r="N51" s="48">
        <v>0</v>
      </c>
      <c r="O51" s="48">
        <v>0</v>
      </c>
      <c r="P51" s="325" t="str">
        <f t="shared" si="0"/>
        <v xml:space="preserve"> </v>
      </c>
      <c r="Q51" s="6">
        <f t="shared" si="1"/>
        <v>0</v>
      </c>
      <c r="R51" s="19">
        <f t="shared" si="2"/>
        <v>0</v>
      </c>
    </row>
    <row r="52" spans="1:18" ht="12.75">
      <c r="A52" s="7">
        <v>396</v>
      </c>
      <c r="B52" s="8" t="s">
        <v>43</v>
      </c>
      <c r="C52" s="313"/>
      <c r="D52" s="90"/>
      <c r="E52" s="90"/>
      <c r="F52" s="90"/>
      <c r="G52" s="90"/>
      <c r="H52" s="214"/>
      <c r="I52" s="48">
        <v>0</v>
      </c>
      <c r="J52" s="48"/>
      <c r="K52" s="48"/>
      <c r="L52" s="48">
        <v>0</v>
      </c>
      <c r="M52" s="48">
        <v>0</v>
      </c>
      <c r="N52" s="48">
        <v>0</v>
      </c>
      <c r="O52" s="48">
        <v>0</v>
      </c>
      <c r="P52" s="325" t="str">
        <f t="shared" si="0"/>
        <v xml:space="preserve"> </v>
      </c>
      <c r="Q52" s="6">
        <f t="shared" si="1"/>
        <v>0</v>
      </c>
      <c r="R52" s="19">
        <f t="shared" si="2"/>
        <v>0</v>
      </c>
    </row>
    <row r="53" spans="1:18" ht="12.75">
      <c r="A53" s="7">
        <v>397</v>
      </c>
      <c r="B53" s="8" t="s">
        <v>44</v>
      </c>
      <c r="C53" s="313"/>
      <c r="D53" s="90"/>
      <c r="E53" s="90"/>
      <c r="F53" s="90"/>
      <c r="G53" s="90"/>
      <c r="H53" s="214"/>
      <c r="I53" s="48">
        <v>0</v>
      </c>
      <c r="J53" s="48"/>
      <c r="K53" s="48"/>
      <c r="L53" s="48">
        <v>0</v>
      </c>
      <c r="M53" s="48">
        <v>0</v>
      </c>
      <c r="N53" s="48">
        <v>0</v>
      </c>
      <c r="O53" s="48">
        <v>0</v>
      </c>
      <c r="P53" s="325" t="str">
        <f t="shared" si="0"/>
        <v xml:space="preserve"> </v>
      </c>
      <c r="Q53" s="6">
        <f t="shared" si="1"/>
        <v>0</v>
      </c>
      <c r="R53" s="19">
        <f t="shared" si="2"/>
        <v>0</v>
      </c>
    </row>
    <row r="54" spans="1:18" ht="12.75">
      <c r="A54" s="7">
        <v>398</v>
      </c>
      <c r="B54" s="8" t="s">
        <v>45</v>
      </c>
      <c r="C54" s="313"/>
      <c r="D54" s="90"/>
      <c r="E54" s="90"/>
      <c r="F54" s="90"/>
      <c r="G54" s="90"/>
      <c r="H54" s="214"/>
      <c r="I54" s="48">
        <v>0</v>
      </c>
      <c r="J54" s="48"/>
      <c r="K54" s="48"/>
      <c r="L54" s="48">
        <v>0</v>
      </c>
      <c r="M54" s="48">
        <v>0</v>
      </c>
      <c r="N54" s="48">
        <v>0</v>
      </c>
      <c r="O54" s="48">
        <v>0</v>
      </c>
      <c r="P54" s="325" t="str">
        <f t="shared" si="0"/>
        <v xml:space="preserve"> </v>
      </c>
      <c r="Q54" s="6">
        <f t="shared" si="1"/>
        <v>0</v>
      </c>
      <c r="R54" s="19">
        <f t="shared" si="2"/>
        <v>0</v>
      </c>
    </row>
    <row r="55" spans="1:18" ht="12.75">
      <c r="A55" s="9"/>
      <c r="B55" s="10"/>
      <c r="C55" s="58"/>
      <c r="D55" s="91"/>
      <c r="E55" s="91"/>
      <c r="F55" s="91"/>
      <c r="G55" s="91"/>
      <c r="H55" s="214"/>
      <c r="I55" s="6"/>
      <c r="J55" s="11"/>
      <c r="K55" s="11"/>
      <c r="L55" s="48"/>
      <c r="M55" s="48"/>
      <c r="N55" s="48"/>
      <c r="O55" s="48"/>
      <c r="P55" s="326" t="str">
        <f t="shared" si="0"/>
        <v xml:space="preserve"> </v>
      </c>
      <c r="Q55" s="11">
        <f t="shared" si="1"/>
        <v>0</v>
      </c>
      <c r="R55" s="46">
        <f t="shared" si="2"/>
        <v>0</v>
      </c>
    </row>
    <row r="56" spans="1:18" ht="13.5" thickBot="1">
      <c r="A56" s="12"/>
      <c r="B56" s="13"/>
      <c r="C56" s="59"/>
      <c r="D56" s="92"/>
      <c r="E56" s="92"/>
      <c r="F56" s="92"/>
      <c r="G56" s="92"/>
      <c r="H56" s="92"/>
      <c r="I56" s="14"/>
      <c r="J56" s="14"/>
      <c r="K56" s="14"/>
      <c r="L56" s="14"/>
      <c r="M56" s="14"/>
      <c r="N56" s="14"/>
      <c r="O56" s="14"/>
      <c r="P56" s="327" t="str">
        <f t="shared" si="0"/>
        <v xml:space="preserve"> </v>
      </c>
      <c r="Q56" s="14">
        <f t="shared" si="1"/>
        <v>0</v>
      </c>
      <c r="R56" s="24">
        <f t="shared" si="2"/>
        <v>0</v>
      </c>
    </row>
    <row r="57" spans="1:18" ht="17.25" customHeight="1" thickTop="1" thickBot="1">
      <c r="A57" s="15"/>
      <c r="B57" s="16" t="s">
        <v>46</v>
      </c>
      <c r="C57" s="315"/>
      <c r="D57" s="93">
        <f t="shared" si="3" ref="D57:O57">SUM(D8:D56)</f>
        <v>26153504545</v>
      </c>
      <c r="E57" s="93">
        <f t="shared" si="3"/>
        <v>26705138907</v>
      </c>
      <c r="F57" s="93">
        <f t="shared" si="3"/>
        <v>27284103100</v>
      </c>
      <c r="G57" s="93">
        <f t="shared" si="3"/>
        <v>27829778361.790001</v>
      </c>
      <c r="H57" s="93">
        <f t="shared" si="3"/>
        <v>27984352000</v>
      </c>
      <c r="I57" s="17">
        <f t="shared" si="3"/>
        <v>32661390457</v>
      </c>
      <c r="J57" s="17">
        <f t="shared" si="3"/>
        <v>30596235594</v>
      </c>
      <c r="K57" s="17">
        <f t="shared" si="3"/>
        <v>33391961055.579994</v>
      </c>
      <c r="L57" s="17">
        <f t="shared" si="3"/>
        <v>35964598087</v>
      </c>
      <c r="M57" s="17">
        <f t="shared" si="3"/>
        <v>36968672457</v>
      </c>
      <c r="N57" s="17">
        <f t="shared" si="3"/>
        <v>37468672457</v>
      </c>
      <c r="O57" s="17">
        <f t="shared" si="3"/>
        <v>38000550000</v>
      </c>
      <c r="P57" s="328">
        <f t="shared" si="0"/>
        <v>102.80</v>
      </c>
      <c r="Q57" s="17">
        <f t="shared" si="1"/>
        <v>1004074370</v>
      </c>
      <c r="R57" s="47">
        <f t="shared" si="2"/>
        <v>3576711401.4200058</v>
      </c>
    </row>
    <row r="58" spans="2:16" ht="12.75">
      <c r="B58" s="22"/>
      <c r="C58" s="22"/>
      <c r="D58" s="22"/>
      <c r="E58" s="22"/>
      <c r="F58" s="22"/>
      <c r="G58" s="22"/>
      <c r="H58" s="22"/>
      <c r="I58" s="23"/>
      <c r="J58" s="23"/>
      <c r="K58" s="23"/>
      <c r="L58" s="23"/>
      <c r="M58" s="23"/>
      <c r="N58" s="23"/>
      <c r="O58" s="23"/>
      <c r="P58" s="324"/>
    </row>
  </sheetData>
  <mergeCells count="2">
    <mergeCell ref="B4:N4"/>
    <mergeCell ref="B5:N5"/>
  </mergeCells>
  <printOptions horizontalCentered="1"/>
  <pageMargins left="0.275590551181102" right="0.393700787401575" top="0.63" bottom="0.7" header="0.44" footer="0.511811023622047"/>
  <pageSetup orientation="landscape" paperSize="9" scale="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2014-05-31T07:39:03Z</dcterms:created>
  <cp:category/>
  <cp:contentType/>
  <cp:contentStatus/>
</cp:coreProperties>
</file>