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5475" tabRatio="603" activeTab="1"/>
  </bookViews>
  <sheets>
    <sheet name="MF" sheetId="1" r:id="rId1"/>
    <sheet name="GFŘ" sheetId="2" r:id="rId2"/>
    <sheet name="GŘC" sheetId="3" r:id="rId3"/>
    <sheet name="ÚZSVM" sheetId="4" r:id="rId4"/>
    <sheet name="KFA" sheetId="5" r:id="rId5"/>
    <sheet name="KAP bez ÚZSVM, KFA" sheetId="6" r:id="rId6"/>
    <sheet name="KAPITOLA" sheetId="7" r:id="rId7"/>
    <sheet name="List1" sheetId="8" r:id="rId8"/>
  </sheets>
  <definedNames/>
  <calcPr fullCalcOnLoad="1"/>
</workbook>
</file>

<file path=xl/sharedStrings.xml><?xml version="1.0" encoding="utf-8"?>
<sst xmlns="http://schemas.openxmlformats.org/spreadsheetml/2006/main" count="604" uniqueCount="69">
  <si>
    <t>Ukazatel</t>
  </si>
  <si>
    <t>skutečnost</t>
  </si>
  <si>
    <t>sloupec</t>
  </si>
  <si>
    <t>Výdaje celkem</t>
  </si>
  <si>
    <t xml:space="preserve">v tom:  </t>
  </si>
  <si>
    <t xml:space="preserve"> - kapitálové (investiční)</t>
  </si>
  <si>
    <t xml:space="preserve">    v tom:</t>
  </si>
  <si>
    <t xml:space="preserve">    - pořízení nehm. inv. majetku</t>
  </si>
  <si>
    <t xml:space="preserve">    - pořízení hmot. inv. majetku</t>
  </si>
  <si>
    <t xml:space="preserve">    - ostatní pol.</t>
  </si>
  <si>
    <t xml:space="preserve"> - běžné (neinvestiční)</t>
  </si>
  <si>
    <t xml:space="preserve">   - platy zam. a ost. platby</t>
  </si>
  <si>
    <t xml:space="preserve">        v tom: platy zaměstnanců</t>
  </si>
  <si>
    <t>ostatní platby celkem</t>
  </si>
  <si>
    <t xml:space="preserve">   -  povinné pojistné</t>
  </si>
  <si>
    <t xml:space="preserve">   -  příděl do FKSP</t>
  </si>
  <si>
    <t xml:space="preserve">   -  sociální dávky</t>
  </si>
  <si>
    <t xml:space="preserve">   -  ostatní běžné  výdaje</t>
  </si>
  <si>
    <t xml:space="preserve">         v tom:</t>
  </si>
  <si>
    <t xml:space="preserve">        - nákup materiálu </t>
  </si>
  <si>
    <t xml:space="preserve">        - nákup vody, paliv, energie</t>
  </si>
  <si>
    <t xml:space="preserve">        - nákup služeb</t>
  </si>
  <si>
    <t xml:space="preserve">          z toho: nájemné</t>
  </si>
  <si>
    <t xml:space="preserve">        - ostatní nákupy</t>
  </si>
  <si>
    <t xml:space="preserve">          z toho: opravy a udržování</t>
  </si>
  <si>
    <t xml:space="preserve">                    program. vyb. do 60 tis.Kč</t>
  </si>
  <si>
    <t xml:space="preserve">                    cestovné</t>
  </si>
  <si>
    <t xml:space="preserve">       - ostatní pol.                                   </t>
  </si>
  <si>
    <t>prům. přep. počet zaměst.</t>
  </si>
  <si>
    <t>ostatní běžné výdaje  na 1 zam. v Kč</t>
  </si>
  <si>
    <t>průměrný měsíční plat v Kč</t>
  </si>
  <si>
    <t>platy včetně září v tis. Kč</t>
  </si>
  <si>
    <t>Index</t>
  </si>
  <si>
    <t xml:space="preserve">  2 : 1</t>
  </si>
  <si>
    <t>SZÚ</t>
  </si>
  <si>
    <t xml:space="preserve">  4 : 3</t>
  </si>
  <si>
    <t xml:space="preserve">  5 : 4</t>
  </si>
  <si>
    <t>od 1. 7. 2002</t>
  </si>
  <si>
    <t>Příjmy celkem</t>
  </si>
  <si>
    <t>SZÚ v tis. Kč</t>
  </si>
  <si>
    <t>rozp. v tis. Kč</t>
  </si>
  <si>
    <t xml:space="preserve">            příjmy z FM EHP/Norsko</t>
  </si>
  <si>
    <t>2007 v %</t>
  </si>
  <si>
    <t xml:space="preserve">            převod z vlastních fondů</t>
  </si>
  <si>
    <t>2009/</t>
  </si>
  <si>
    <t>2008 v %</t>
  </si>
  <si>
    <t xml:space="preserve">            ostatní nedaňové a kap. příjmy </t>
  </si>
  <si>
    <t xml:space="preserve">            příjmy z EU, transfery ze zahraničí</t>
  </si>
  <si>
    <t>2008/</t>
  </si>
  <si>
    <t>2006/</t>
  </si>
  <si>
    <t>2005 v %</t>
  </si>
  <si>
    <t>2010/</t>
  </si>
  <si>
    <t>2009 v %</t>
  </si>
  <si>
    <t xml:space="preserve">            pojistné na SPZ</t>
  </si>
  <si>
    <t xml:space="preserve">   2 : 1</t>
  </si>
  <si>
    <t xml:space="preserve">  3 : 2</t>
  </si>
  <si>
    <t>v tom: správní poplatky *)</t>
  </si>
  <si>
    <t xml:space="preserve">            pokuty a ostatní sankční platby*)</t>
  </si>
  <si>
    <t xml:space="preserve"> *) do roku 2009 zahrnuto v kapitole 398 - VPS</t>
  </si>
  <si>
    <t>Ministerstvo financí  - Vývoj plnění vybraných ukazatelů státního rozpočtu v letech 2007 - 2011</t>
  </si>
  <si>
    <t>2011/</t>
  </si>
  <si>
    <t>2010 v %</t>
  </si>
  <si>
    <t>kapitola 312- MF - Vývoj plnění vybraných ukazatelů státního rozpočtu v letech 2007 - 2011</t>
  </si>
  <si>
    <r>
      <t xml:space="preserve"> bez ÚZSVM a KFA -</t>
    </r>
    <r>
      <rPr>
        <b/>
        <u val="single"/>
        <sz val="10"/>
        <rFont val="Times New Roman CE"/>
        <family val="0"/>
      </rPr>
      <t xml:space="preserve"> výdaje na státní správu</t>
    </r>
  </si>
  <si>
    <t>Generální finanční ředitelství  - Vývoj plnění vybraných ukazatelů státního rozpočtu v letech 2007 - 2011</t>
  </si>
  <si>
    <t>Generální ředitelství cel  - Vývoj plnění vybraných ukazatelů státního rozpočtu v letech 2007 - 2011</t>
  </si>
  <si>
    <t>Úřad pro zastupování státu ve věcech majetkových - Vývoj plnění vybraných ukazatelů státního rozpočtu v letech 2007 - 2011</t>
  </si>
  <si>
    <t>Kancelář finančního arbitra - Vývoj plnění vybraných ukazatelů státního rozpočtu v letech 2007 - 2011</t>
  </si>
  <si>
    <t>kapitola 312 - MF - Vývoj plnění vybraných ukazatelů státního rozpočtu v letech 2007 - 2011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</si>
</sst>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\-#,##0"/>
    <numFmt numFmtId="165" formatCode="#,##0;[Red]\-#,##0"/>
    <numFmt numFmtId="166" formatCode="#,##0.00;\-#,##0.00"/>
    <numFmt numFmtId="167" formatCode="#,##0.00;[Red]\-#,##0.00"/>
    <numFmt numFmtId="168" formatCode="0,000.0"/>
    <numFmt numFmtId="169" formatCode="#,##0.0"/>
    <numFmt numFmtId="170" formatCode="0.0%"/>
    <numFmt numFmtId="171" formatCode="0.0"/>
    <numFmt numFmtId="172" formatCode="#,##0.000"/>
  </numFmts>
  <fonts count="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0"/>
      <name val="Times New Roman CE"/>
      <family val="1"/>
    </font>
    <font>
      <sz val="10"/>
      <name val="Times New Roman CE"/>
      <family val="1"/>
    </font>
    <font>
      <sz val="10"/>
      <color indexed="56"/>
      <name val="Times New Roman CE"/>
      <family val="1"/>
    </font>
    <font>
      <sz val="8"/>
      <name val="Arial CE"/>
      <family val="0"/>
    </font>
    <font>
      <b/>
      <u val="single"/>
      <sz val="10"/>
      <name val="Times New Roman CE"/>
      <family val="0"/>
    </font>
  </fonts>
  <fills count="2">
    <fill>
      <patternFill/>
    </fill>
    <fill>
      <patternFill patternType="gray125"/>
    </fill>
  </fills>
  <borders count="6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medium"/>
      <right style="medium"/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medium"/>
    </border>
    <border>
      <left style="thin"/>
      <right style="thin"/>
      <top style="dotted"/>
      <bottom style="dotted"/>
    </border>
    <border>
      <left style="medium"/>
      <right style="thin"/>
      <top style="dotted"/>
      <bottom style="dotted"/>
    </border>
    <border>
      <left style="medium"/>
      <right style="medium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thin"/>
      <top style="medium"/>
      <bottom style="dotted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/>
      <top style="dotted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dotted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medium"/>
      <top style="thin"/>
      <bottom style="dotted"/>
    </border>
    <border>
      <left style="medium"/>
      <right style="medium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thin"/>
      <top style="dotted"/>
      <bottom style="dotted"/>
    </border>
    <border>
      <left style="medium"/>
      <right style="medium"/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dotted"/>
    </border>
    <border>
      <left style="thin"/>
      <right style="medium"/>
      <top style="dotted"/>
      <bottom>
        <color indexed="63"/>
      </bottom>
    </border>
    <border>
      <left style="thin"/>
      <right style="medium"/>
      <top>
        <color indexed="63"/>
      </top>
      <bottom style="dotted"/>
    </border>
    <border>
      <left style="thin"/>
      <right style="medium"/>
      <top>
        <color indexed="63"/>
      </top>
      <bottom style="thin"/>
    </border>
    <border>
      <left style="thin"/>
      <right style="medium"/>
      <top style="dotted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4" fillId="0" borderId="4" xfId="0" applyFont="1" applyBorder="1" applyAlignment="1">
      <alignment/>
    </xf>
    <xf numFmtId="3" fontId="4" fillId="0" borderId="5" xfId="0" applyNumberFormat="1" applyFont="1" applyBorder="1" applyAlignment="1">
      <alignment/>
    </xf>
    <xf numFmtId="0" fontId="5" fillId="0" borderId="6" xfId="0" applyFont="1" applyBorder="1" applyAlignment="1">
      <alignment/>
    </xf>
    <xf numFmtId="3" fontId="5" fillId="0" borderId="7" xfId="0" applyNumberFormat="1" applyFont="1" applyBorder="1" applyAlignment="1">
      <alignment/>
    </xf>
    <xf numFmtId="3" fontId="5" fillId="0" borderId="8" xfId="0" applyNumberFormat="1" applyFont="1" applyBorder="1" applyAlignment="1">
      <alignment/>
    </xf>
    <xf numFmtId="3" fontId="5" fillId="0" borderId="9" xfId="0" applyNumberFormat="1" applyFont="1" applyBorder="1" applyAlignment="1">
      <alignment/>
    </xf>
    <xf numFmtId="0" fontId="5" fillId="0" borderId="4" xfId="0" applyFont="1" applyBorder="1" applyAlignment="1">
      <alignment/>
    </xf>
    <xf numFmtId="3" fontId="5" fillId="0" borderId="5" xfId="0" applyNumberFormat="1" applyFont="1" applyBorder="1" applyAlignment="1">
      <alignment/>
    </xf>
    <xf numFmtId="0" fontId="4" fillId="0" borderId="6" xfId="0" applyFont="1" applyBorder="1" applyAlignment="1">
      <alignment/>
    </xf>
    <xf numFmtId="3" fontId="4" fillId="0" borderId="7" xfId="0" applyNumberFormat="1" applyFont="1" applyBorder="1" applyAlignment="1">
      <alignment/>
    </xf>
    <xf numFmtId="0" fontId="4" fillId="0" borderId="6" xfId="0" applyFont="1" applyBorder="1" applyAlignment="1">
      <alignment/>
    </xf>
    <xf numFmtId="3" fontId="4" fillId="0" borderId="7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5" fillId="0" borderId="11" xfId="0" applyFont="1" applyBorder="1" applyAlignment="1">
      <alignment/>
    </xf>
    <xf numFmtId="3" fontId="5" fillId="0" borderId="12" xfId="0" applyNumberFormat="1" applyFont="1" applyBorder="1" applyAlignment="1">
      <alignment/>
    </xf>
    <xf numFmtId="0" fontId="5" fillId="0" borderId="6" xfId="0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3" fontId="5" fillId="0" borderId="15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0" fontId="5" fillId="0" borderId="17" xfId="0" applyFont="1" applyBorder="1" applyAlignment="1">
      <alignment/>
    </xf>
    <xf numFmtId="3" fontId="5" fillId="0" borderId="18" xfId="0" applyNumberFormat="1" applyFont="1" applyBorder="1" applyAlignment="1">
      <alignment/>
    </xf>
    <xf numFmtId="1" fontId="5" fillId="0" borderId="19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5" fillId="0" borderId="20" xfId="0" applyNumberFormat="1" applyFont="1" applyBorder="1" applyAlignment="1">
      <alignment horizontal="center"/>
    </xf>
    <xf numFmtId="1" fontId="5" fillId="0" borderId="21" xfId="0" applyNumberFormat="1" applyFont="1" applyBorder="1" applyAlignment="1">
      <alignment horizontal="center"/>
    </xf>
    <xf numFmtId="3" fontId="5" fillId="0" borderId="22" xfId="0" applyNumberFormat="1" applyFont="1" applyBorder="1" applyAlignment="1">
      <alignment horizontal="center"/>
    </xf>
    <xf numFmtId="3" fontId="5" fillId="0" borderId="23" xfId="0" applyNumberFormat="1" applyFont="1" applyBorder="1" applyAlignment="1">
      <alignment horizontal="center"/>
    </xf>
    <xf numFmtId="3" fontId="5" fillId="0" borderId="22" xfId="0" applyNumberFormat="1" applyFont="1" applyBorder="1" applyAlignment="1">
      <alignment/>
    </xf>
    <xf numFmtId="3" fontId="4" fillId="0" borderId="24" xfId="0" applyNumberFormat="1" applyFont="1" applyBorder="1" applyAlignment="1">
      <alignment/>
    </xf>
    <xf numFmtId="3" fontId="5" fillId="0" borderId="24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25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3" fontId="5" fillId="0" borderId="20" xfId="0" applyNumberFormat="1" applyFont="1" applyBorder="1" applyAlignment="1">
      <alignment/>
    </xf>
    <xf numFmtId="1" fontId="5" fillId="0" borderId="27" xfId="0" applyNumberFormat="1" applyFont="1" applyBorder="1" applyAlignment="1">
      <alignment horizontal="center"/>
    </xf>
    <xf numFmtId="3" fontId="5" fillId="0" borderId="28" xfId="0" applyNumberFormat="1" applyFont="1" applyBorder="1" applyAlignment="1">
      <alignment horizontal="center"/>
    </xf>
    <xf numFmtId="3" fontId="5" fillId="0" borderId="29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3" fontId="5" fillId="0" borderId="18" xfId="0" applyNumberFormat="1" applyFont="1" applyBorder="1" applyAlignment="1">
      <alignment horizontal="right"/>
    </xf>
    <xf numFmtId="3" fontId="5" fillId="0" borderId="30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3" fontId="5" fillId="0" borderId="32" xfId="0" applyNumberFormat="1" applyFont="1" applyBorder="1" applyAlignment="1">
      <alignment/>
    </xf>
    <xf numFmtId="3" fontId="5" fillId="0" borderId="33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3" fontId="5" fillId="0" borderId="34" xfId="0" applyNumberFormat="1" applyFont="1" applyBorder="1" applyAlignment="1">
      <alignment/>
    </xf>
    <xf numFmtId="3" fontId="5" fillId="0" borderId="35" xfId="0" applyNumberFormat="1" applyFont="1" applyBorder="1" applyAlignment="1">
      <alignment/>
    </xf>
    <xf numFmtId="3" fontId="5" fillId="0" borderId="30" xfId="0" applyNumberFormat="1" applyFont="1" applyBorder="1" applyAlignment="1">
      <alignment horizontal="right"/>
    </xf>
    <xf numFmtId="3" fontId="5" fillId="0" borderId="18" xfId="0" applyNumberFormat="1" applyFont="1" applyBorder="1" applyAlignment="1">
      <alignment horizontal="center"/>
    </xf>
    <xf numFmtId="3" fontId="5" fillId="0" borderId="3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/>
    </xf>
    <xf numFmtId="4" fontId="4" fillId="0" borderId="36" xfId="0" applyNumberFormat="1" applyFont="1" applyBorder="1" applyAlignment="1">
      <alignment/>
    </xf>
    <xf numFmtId="4" fontId="5" fillId="0" borderId="37" xfId="0" applyNumberFormat="1" applyFont="1" applyBorder="1" applyAlignment="1">
      <alignment/>
    </xf>
    <xf numFmtId="4" fontId="4" fillId="0" borderId="37" xfId="0" applyNumberFormat="1" applyFont="1" applyBorder="1" applyAlignment="1">
      <alignment/>
    </xf>
    <xf numFmtId="4" fontId="4" fillId="0" borderId="37" xfId="0" applyNumberFormat="1" applyFont="1" applyBorder="1" applyAlignment="1">
      <alignment/>
    </xf>
    <xf numFmtId="4" fontId="5" fillId="0" borderId="38" xfId="0" applyNumberFormat="1" applyFont="1" applyBorder="1" applyAlignment="1">
      <alignment/>
    </xf>
    <xf numFmtId="4" fontId="5" fillId="0" borderId="39" xfId="0" applyNumberFormat="1" applyFont="1" applyBorder="1" applyAlignment="1">
      <alignment/>
    </xf>
    <xf numFmtId="4" fontId="5" fillId="0" borderId="29" xfId="0" applyNumberFormat="1" applyFont="1" applyBorder="1" applyAlignment="1">
      <alignment/>
    </xf>
    <xf numFmtId="4" fontId="5" fillId="0" borderId="36" xfId="0" applyNumberFormat="1" applyFont="1" applyBorder="1" applyAlignment="1">
      <alignment/>
    </xf>
    <xf numFmtId="1" fontId="5" fillId="0" borderId="40" xfId="0" applyNumberFormat="1" applyFont="1" applyBorder="1" applyAlignment="1">
      <alignment horizontal="center"/>
    </xf>
    <xf numFmtId="3" fontId="5" fillId="0" borderId="41" xfId="0" applyNumberFormat="1" applyFont="1" applyBorder="1" applyAlignment="1">
      <alignment horizontal="center"/>
    </xf>
    <xf numFmtId="3" fontId="5" fillId="0" borderId="8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right"/>
    </xf>
    <xf numFmtId="3" fontId="5" fillId="0" borderId="7" xfId="0" applyNumberFormat="1" applyFont="1" applyBorder="1" applyAlignment="1">
      <alignment horizontal="right"/>
    </xf>
    <xf numFmtId="3" fontId="5" fillId="0" borderId="9" xfId="0" applyNumberFormat="1" applyFont="1" applyBorder="1" applyAlignment="1">
      <alignment horizontal="center"/>
    </xf>
    <xf numFmtId="3" fontId="5" fillId="0" borderId="23" xfId="0" applyNumberFormat="1" applyFont="1" applyBorder="1" applyAlignment="1">
      <alignment/>
    </xf>
    <xf numFmtId="1" fontId="5" fillId="0" borderId="42" xfId="0" applyNumberFormat="1" applyFont="1" applyBorder="1" applyAlignment="1">
      <alignment horizontal="center"/>
    </xf>
    <xf numFmtId="3" fontId="5" fillId="0" borderId="43" xfId="0" applyNumberFormat="1" applyFont="1" applyBorder="1" applyAlignment="1">
      <alignment horizontal="center"/>
    </xf>
    <xf numFmtId="3" fontId="5" fillId="0" borderId="44" xfId="0" applyNumberFormat="1" applyFont="1" applyBorder="1" applyAlignment="1">
      <alignment/>
    </xf>
    <xf numFmtId="3" fontId="5" fillId="0" borderId="45" xfId="0" applyNumberFormat="1" applyFont="1" applyBorder="1" applyAlignment="1">
      <alignment/>
    </xf>
    <xf numFmtId="3" fontId="5" fillId="0" borderId="46" xfId="0" applyNumberFormat="1" applyFont="1" applyBorder="1" applyAlignment="1">
      <alignment/>
    </xf>
    <xf numFmtId="3" fontId="4" fillId="0" borderId="46" xfId="0" applyNumberFormat="1" applyFont="1" applyBorder="1" applyAlignment="1">
      <alignment/>
    </xf>
    <xf numFmtId="3" fontId="5" fillId="0" borderId="5" xfId="0" applyNumberFormat="1" applyFont="1" applyFill="1" applyBorder="1" applyAlignment="1">
      <alignment/>
    </xf>
    <xf numFmtId="3" fontId="5" fillId="0" borderId="7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14" xfId="0" applyFont="1" applyBorder="1" applyAlignment="1">
      <alignment/>
    </xf>
    <xf numFmtId="3" fontId="6" fillId="0" borderId="14" xfId="0" applyNumberFormat="1" applyFont="1" applyBorder="1" applyAlignment="1">
      <alignment horizontal="right"/>
    </xf>
    <xf numFmtId="0" fontId="5" fillId="0" borderId="47" xfId="0" applyFont="1" applyBorder="1" applyAlignment="1">
      <alignment horizontal="center"/>
    </xf>
    <xf numFmtId="3" fontId="5" fillId="0" borderId="48" xfId="0" applyNumberFormat="1" applyFont="1" applyBorder="1" applyAlignment="1">
      <alignment horizontal="center"/>
    </xf>
    <xf numFmtId="3" fontId="5" fillId="0" borderId="49" xfId="0" applyNumberFormat="1" applyFont="1" applyBorder="1" applyAlignment="1">
      <alignment horizontal="center"/>
    </xf>
    <xf numFmtId="3" fontId="5" fillId="0" borderId="49" xfId="0" applyNumberFormat="1" applyFont="1" applyBorder="1" applyAlignment="1">
      <alignment horizontal="right"/>
    </xf>
    <xf numFmtId="3" fontId="5" fillId="0" borderId="48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 horizontal="right"/>
    </xf>
    <xf numFmtId="3" fontId="5" fillId="0" borderId="14" xfId="0" applyNumberFormat="1" applyFont="1" applyBorder="1" applyAlignment="1">
      <alignment horizontal="right"/>
    </xf>
    <xf numFmtId="3" fontId="4" fillId="0" borderId="9" xfId="0" applyNumberFormat="1" applyFont="1" applyBorder="1" applyAlignment="1">
      <alignment horizontal="right"/>
    </xf>
    <xf numFmtId="3" fontId="4" fillId="0" borderId="22" xfId="0" applyNumberFormat="1" applyFont="1" applyBorder="1" applyAlignment="1">
      <alignment horizontal="right"/>
    </xf>
    <xf numFmtId="4" fontId="4" fillId="0" borderId="39" xfId="0" applyNumberFormat="1" applyFont="1" applyBorder="1" applyAlignment="1">
      <alignment horizontal="right"/>
    </xf>
    <xf numFmtId="4" fontId="5" fillId="0" borderId="50" xfId="0" applyNumberFormat="1" applyFont="1" applyBorder="1" applyAlignment="1">
      <alignment horizontal="right"/>
    </xf>
    <xf numFmtId="4" fontId="5" fillId="0" borderId="38" xfId="0" applyNumberFormat="1" applyFont="1" applyBorder="1" applyAlignment="1">
      <alignment horizontal="right"/>
    </xf>
    <xf numFmtId="0" fontId="5" fillId="0" borderId="51" xfId="0" applyFont="1" applyBorder="1" applyAlignment="1">
      <alignment/>
    </xf>
    <xf numFmtId="0" fontId="5" fillId="0" borderId="52" xfId="0" applyFont="1" applyBorder="1" applyAlignment="1">
      <alignment/>
    </xf>
    <xf numFmtId="0" fontId="5" fillId="0" borderId="34" xfId="0" applyFont="1" applyBorder="1" applyAlignment="1">
      <alignment/>
    </xf>
    <xf numFmtId="3" fontId="5" fillId="0" borderId="53" xfId="0" applyNumberFormat="1" applyFont="1" applyBorder="1" applyAlignment="1">
      <alignment/>
    </xf>
    <xf numFmtId="3" fontId="5" fillId="0" borderId="53" xfId="0" applyNumberFormat="1" applyFont="1" applyBorder="1" applyAlignment="1">
      <alignment horizontal="right"/>
    </xf>
    <xf numFmtId="3" fontId="5" fillId="0" borderId="34" xfId="0" applyNumberFormat="1" applyFont="1" applyBorder="1" applyAlignment="1">
      <alignment horizontal="right"/>
    </xf>
    <xf numFmtId="3" fontId="5" fillId="0" borderId="52" xfId="0" applyNumberFormat="1" applyFont="1" applyBorder="1" applyAlignment="1">
      <alignment/>
    </xf>
    <xf numFmtId="4" fontId="5" fillId="0" borderId="54" xfId="0" applyNumberFormat="1" applyFont="1" applyBorder="1" applyAlignment="1">
      <alignment horizontal="right"/>
    </xf>
    <xf numFmtId="3" fontId="6" fillId="0" borderId="34" xfId="0" applyNumberFormat="1" applyFont="1" applyBorder="1" applyAlignment="1">
      <alignment horizontal="right"/>
    </xf>
    <xf numFmtId="3" fontId="5" fillId="0" borderId="48" xfId="0" applyNumberFormat="1" applyFont="1" applyBorder="1" applyAlignment="1">
      <alignment/>
    </xf>
    <xf numFmtId="3" fontId="5" fillId="0" borderId="44" xfId="0" applyNumberFormat="1" applyFont="1" applyBorder="1" applyAlignment="1" applyProtection="1">
      <alignment/>
      <protection locked="0"/>
    </xf>
    <xf numFmtId="3" fontId="5" fillId="0" borderId="45" xfId="0" applyNumberFormat="1" applyFont="1" applyBorder="1" applyAlignment="1" applyProtection="1">
      <alignment/>
      <protection locked="0"/>
    </xf>
    <xf numFmtId="3" fontId="5" fillId="0" borderId="7" xfId="0" applyNumberFormat="1" applyFont="1" applyBorder="1" applyAlignment="1" applyProtection="1">
      <alignment/>
      <protection locked="0"/>
    </xf>
    <xf numFmtId="3" fontId="4" fillId="0" borderId="21" xfId="0" applyNumberFormat="1" applyFont="1" applyBorder="1" applyAlignment="1">
      <alignment horizontal="right"/>
    </xf>
    <xf numFmtId="0" fontId="4" fillId="0" borderId="0" xfId="0" applyFont="1" applyAlignment="1">
      <alignment/>
    </xf>
    <xf numFmtId="1" fontId="5" fillId="0" borderId="1" xfId="0" applyNumberFormat="1" applyFont="1" applyBorder="1" applyAlignment="1">
      <alignment horizontal="center"/>
    </xf>
    <xf numFmtId="3" fontId="5" fillId="0" borderId="2" xfId="0" applyNumberFormat="1" applyFont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3" fontId="5" fillId="0" borderId="55" xfId="0" applyNumberFormat="1" applyFont="1" applyBorder="1" applyAlignment="1">
      <alignment/>
    </xf>
    <xf numFmtId="3" fontId="5" fillId="0" borderId="9" xfId="0" applyNumberFormat="1" applyFont="1" applyBorder="1" applyAlignment="1">
      <alignment horizontal="right"/>
    </xf>
    <xf numFmtId="4" fontId="5" fillId="0" borderId="39" xfId="0" applyNumberFormat="1" applyFont="1" applyBorder="1" applyAlignment="1">
      <alignment horizontal="right"/>
    </xf>
    <xf numFmtId="3" fontId="5" fillId="0" borderId="10" xfId="0" applyNumberFormat="1" applyFont="1" applyBorder="1" applyAlignment="1" applyProtection="1">
      <alignment/>
      <protection locked="0"/>
    </xf>
    <xf numFmtId="3" fontId="5" fillId="0" borderId="24" xfId="0" applyNumberFormat="1" applyFont="1" applyBorder="1" applyAlignment="1" applyProtection="1">
      <alignment/>
      <protection locked="0"/>
    </xf>
    <xf numFmtId="4" fontId="4" fillId="0" borderId="36" xfId="0" applyNumberFormat="1" applyFont="1" applyBorder="1" applyAlignment="1">
      <alignment horizontal="right"/>
    </xf>
    <xf numFmtId="4" fontId="5" fillId="0" borderId="37" xfId="0" applyNumberFormat="1" applyFont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5" fillId="0" borderId="29" xfId="0" applyNumberFormat="1" applyFont="1" applyBorder="1" applyAlignment="1">
      <alignment horizontal="right"/>
    </xf>
    <xf numFmtId="4" fontId="5" fillId="0" borderId="36" xfId="0" applyNumberFormat="1" applyFont="1" applyBorder="1" applyAlignment="1">
      <alignment horizontal="right"/>
    </xf>
    <xf numFmtId="0" fontId="5" fillId="0" borderId="56" xfId="0" applyFont="1" applyFill="1" applyBorder="1" applyAlignment="1">
      <alignment/>
    </xf>
    <xf numFmtId="0" fontId="5" fillId="0" borderId="47" xfId="0" applyFont="1" applyFill="1" applyBorder="1" applyAlignment="1">
      <alignment horizontal="center"/>
    </xf>
    <xf numFmtId="3" fontId="5" fillId="0" borderId="48" xfId="0" applyNumberFormat="1" applyFont="1" applyFill="1" applyBorder="1" applyAlignment="1">
      <alignment horizontal="center"/>
    </xf>
    <xf numFmtId="3" fontId="5" fillId="0" borderId="49" xfId="0" applyNumberFormat="1" applyFont="1" applyFill="1" applyBorder="1" applyAlignment="1">
      <alignment horizontal="center"/>
    </xf>
    <xf numFmtId="3" fontId="5" fillId="0" borderId="49" xfId="0" applyNumberFormat="1" applyFont="1" applyFill="1" applyBorder="1" applyAlignment="1">
      <alignment horizontal="right"/>
    </xf>
    <xf numFmtId="3" fontId="5" fillId="0" borderId="9" xfId="0" applyNumberFormat="1" applyFont="1" applyFill="1" applyBorder="1" applyAlignment="1">
      <alignment/>
    </xf>
    <xf numFmtId="3" fontId="5" fillId="0" borderId="22" xfId="0" applyNumberFormat="1" applyFont="1" applyFill="1" applyBorder="1" applyAlignment="1">
      <alignment horizontal="right"/>
    </xf>
    <xf numFmtId="0" fontId="5" fillId="0" borderId="17" xfId="0" applyFont="1" applyFill="1" applyBorder="1" applyAlignment="1">
      <alignment/>
    </xf>
    <xf numFmtId="0" fontId="5" fillId="0" borderId="57" xfId="0" applyFont="1" applyFill="1" applyBorder="1" applyAlignment="1">
      <alignment horizontal="center"/>
    </xf>
    <xf numFmtId="3" fontId="5" fillId="0" borderId="15" xfId="0" applyNumberFormat="1" applyFont="1" applyFill="1" applyBorder="1" applyAlignment="1">
      <alignment horizontal="center"/>
    </xf>
    <xf numFmtId="3" fontId="5" fillId="0" borderId="55" xfId="0" applyNumberFormat="1" applyFont="1" applyFill="1" applyBorder="1" applyAlignment="1">
      <alignment horizontal="center"/>
    </xf>
    <xf numFmtId="3" fontId="5" fillId="0" borderId="55" xfId="0" applyNumberFormat="1" applyFont="1" applyFill="1" applyBorder="1" applyAlignment="1">
      <alignment horizontal="right"/>
    </xf>
    <xf numFmtId="3" fontId="5" fillId="0" borderId="15" xfId="0" applyNumberFormat="1" applyFont="1" applyFill="1" applyBorder="1" applyAlignment="1">
      <alignment horizontal="right"/>
    </xf>
    <xf numFmtId="3" fontId="5" fillId="0" borderId="55" xfId="0" applyNumberFormat="1" applyFont="1" applyFill="1" applyBorder="1" applyAlignment="1">
      <alignment/>
    </xf>
    <xf numFmtId="0" fontId="5" fillId="0" borderId="51" xfId="0" applyFont="1" applyFill="1" applyBorder="1" applyAlignment="1">
      <alignment/>
    </xf>
    <xf numFmtId="0" fontId="5" fillId="0" borderId="52" xfId="0" applyFont="1" applyFill="1" applyBorder="1" applyAlignment="1">
      <alignment/>
    </xf>
    <xf numFmtId="0" fontId="5" fillId="0" borderId="34" xfId="0" applyFont="1" applyFill="1" applyBorder="1" applyAlignment="1">
      <alignment/>
    </xf>
    <xf numFmtId="3" fontId="5" fillId="0" borderId="34" xfId="0" applyNumberFormat="1" applyFont="1" applyFill="1" applyBorder="1" applyAlignment="1">
      <alignment/>
    </xf>
    <xf numFmtId="3" fontId="5" fillId="0" borderId="53" xfId="0" applyNumberFormat="1" applyFont="1" applyFill="1" applyBorder="1" applyAlignment="1">
      <alignment/>
    </xf>
    <xf numFmtId="3" fontId="5" fillId="0" borderId="53" xfId="0" applyNumberFormat="1" applyFont="1" applyFill="1" applyBorder="1" applyAlignment="1">
      <alignment horizontal="right"/>
    </xf>
    <xf numFmtId="3" fontId="5" fillId="0" borderId="34" xfId="0" applyNumberFormat="1" applyFont="1" applyFill="1" applyBorder="1" applyAlignment="1">
      <alignment horizontal="right"/>
    </xf>
    <xf numFmtId="3" fontId="5" fillId="0" borderId="48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3" fontId="5" fillId="0" borderId="22" xfId="0" applyNumberFormat="1" applyFont="1" applyFill="1" applyBorder="1" applyAlignment="1">
      <alignment horizontal="center"/>
    </xf>
    <xf numFmtId="3" fontId="5" fillId="0" borderId="9" xfId="0" applyNumberFormat="1" applyFont="1" applyFill="1" applyBorder="1" applyAlignment="1">
      <alignment horizontal="center"/>
    </xf>
    <xf numFmtId="3" fontId="5" fillId="0" borderId="9" xfId="0" applyNumberFormat="1" applyFont="1" applyFill="1" applyBorder="1" applyAlignment="1">
      <alignment horizontal="right"/>
    </xf>
    <xf numFmtId="3" fontId="5" fillId="0" borderId="47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4" fontId="5" fillId="0" borderId="37" xfId="0" applyNumberFormat="1" applyFont="1" applyBorder="1" applyAlignment="1">
      <alignment/>
    </xf>
    <xf numFmtId="4" fontId="5" fillId="0" borderId="0" xfId="0" applyNumberFormat="1" applyFont="1" applyAlignment="1">
      <alignment/>
    </xf>
    <xf numFmtId="4" fontId="5" fillId="0" borderId="58" xfId="0" applyNumberFormat="1" applyFont="1" applyBorder="1" applyAlignment="1">
      <alignment/>
    </xf>
    <xf numFmtId="4" fontId="5" fillId="0" borderId="59" xfId="0" applyNumberFormat="1" applyFont="1" applyBorder="1" applyAlignment="1">
      <alignment/>
    </xf>
    <xf numFmtId="1" fontId="5" fillId="0" borderId="60" xfId="0" applyNumberFormat="1" applyFont="1" applyBorder="1" applyAlignment="1">
      <alignment horizontal="center"/>
    </xf>
    <xf numFmtId="3" fontId="5" fillId="0" borderId="39" xfId="0" applyNumberFormat="1" applyFont="1" applyBorder="1" applyAlignment="1">
      <alignment horizontal="center"/>
    </xf>
    <xf numFmtId="1" fontId="5" fillId="0" borderId="29" xfId="0" applyNumberFormat="1" applyFont="1" applyBorder="1" applyAlignment="1">
      <alignment horizontal="center"/>
    </xf>
    <xf numFmtId="3" fontId="5" fillId="0" borderId="39" xfId="0" applyNumberFormat="1" applyFont="1" applyBorder="1" applyAlignment="1">
      <alignment/>
    </xf>
    <xf numFmtId="4" fontId="4" fillId="0" borderId="61" xfId="0" applyNumberFormat="1" applyFont="1" applyBorder="1" applyAlignment="1">
      <alignment/>
    </xf>
    <xf numFmtId="1" fontId="5" fillId="0" borderId="62" xfId="0" applyNumberFormat="1" applyFont="1" applyBorder="1" applyAlignment="1">
      <alignment horizontal="center"/>
    </xf>
    <xf numFmtId="3" fontId="5" fillId="0" borderId="40" xfId="0" applyNumberFormat="1" applyFont="1" applyBorder="1" applyAlignment="1">
      <alignment horizontal="center"/>
    </xf>
    <xf numFmtId="1" fontId="5" fillId="0" borderId="63" xfId="0" applyNumberFormat="1" applyFont="1" applyBorder="1" applyAlignment="1">
      <alignment horizontal="center"/>
    </xf>
    <xf numFmtId="1" fontId="5" fillId="0" borderId="23" xfId="0" applyNumberFormat="1" applyFont="1" applyBorder="1" applyAlignment="1">
      <alignment horizontal="center"/>
    </xf>
    <xf numFmtId="4" fontId="4" fillId="0" borderId="22" xfId="0" applyNumberFormat="1" applyFont="1" applyBorder="1" applyAlignment="1">
      <alignment horizontal="right"/>
    </xf>
    <xf numFmtId="3" fontId="5" fillId="0" borderId="64" xfId="0" applyNumberFormat="1" applyFont="1" applyBorder="1" applyAlignment="1">
      <alignment horizontal="right"/>
    </xf>
    <xf numFmtId="4" fontId="5" fillId="0" borderId="34" xfId="0" applyNumberFormat="1" applyFont="1" applyBorder="1" applyAlignment="1">
      <alignment horizontal="right"/>
    </xf>
    <xf numFmtId="3" fontId="5" fillId="0" borderId="65" xfId="0" applyNumberFormat="1" applyFont="1" applyBorder="1" applyAlignment="1">
      <alignment horizontal="right"/>
    </xf>
    <xf numFmtId="4" fontId="5" fillId="0" borderId="14" xfId="0" applyNumberFormat="1" applyFont="1" applyBorder="1" applyAlignment="1">
      <alignment horizontal="right"/>
    </xf>
    <xf numFmtId="4" fontId="4" fillId="0" borderId="24" xfId="0" applyNumberFormat="1" applyFont="1" applyBorder="1" applyAlignment="1">
      <alignment/>
    </xf>
    <xf numFmtId="3" fontId="5" fillId="0" borderId="66" xfId="0" applyNumberFormat="1" applyFont="1" applyBorder="1" applyAlignment="1">
      <alignment/>
    </xf>
    <xf numFmtId="3" fontId="5" fillId="0" borderId="67" xfId="0" applyNumberFormat="1" applyFont="1" applyBorder="1" applyAlignment="1">
      <alignment/>
    </xf>
    <xf numFmtId="3" fontId="5" fillId="0" borderId="28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3" fontId="5" fillId="0" borderId="14" xfId="0" applyNumberFormat="1" applyFont="1" applyFill="1" applyBorder="1" applyAlignment="1">
      <alignment/>
    </xf>
    <xf numFmtId="4" fontId="5" fillId="0" borderId="14" xfId="0" applyNumberFormat="1" applyFont="1" applyBorder="1" applyAlignment="1">
      <alignment/>
    </xf>
    <xf numFmtId="4" fontId="5" fillId="0" borderId="22" xfId="0" applyNumberFormat="1" applyFont="1" applyBorder="1" applyAlignment="1">
      <alignment/>
    </xf>
    <xf numFmtId="4" fontId="5" fillId="0" borderId="23" xfId="0" applyNumberFormat="1" applyFont="1" applyBorder="1" applyAlignment="1">
      <alignment/>
    </xf>
    <xf numFmtId="4" fontId="5" fillId="0" borderId="48" xfId="0" applyNumberFormat="1" applyFont="1" applyBorder="1" applyAlignment="1">
      <alignment horizontal="right"/>
    </xf>
    <xf numFmtId="4" fontId="4" fillId="0" borderId="21" xfId="0" applyNumberFormat="1" applyFont="1" applyBorder="1" applyAlignment="1">
      <alignment/>
    </xf>
    <xf numFmtId="3" fontId="5" fillId="0" borderId="68" xfId="0" applyNumberFormat="1" applyFont="1" applyBorder="1" applyAlignment="1">
      <alignment horizontal="right"/>
    </xf>
    <xf numFmtId="4" fontId="5" fillId="0" borderId="34" xfId="0" applyNumberFormat="1" applyFont="1" applyBorder="1" applyAlignment="1">
      <alignment/>
    </xf>
    <xf numFmtId="3" fontId="5" fillId="0" borderId="65" xfId="0" applyNumberFormat="1" applyFont="1" applyBorder="1" applyAlignment="1">
      <alignment/>
    </xf>
    <xf numFmtId="3" fontId="5" fillId="0" borderId="68" xfId="0" applyNumberFormat="1" applyFont="1" applyBorder="1" applyAlignment="1">
      <alignment/>
    </xf>
    <xf numFmtId="3" fontId="4" fillId="0" borderId="28" xfId="0" applyNumberFormat="1" applyFont="1" applyBorder="1" applyAlignment="1">
      <alignment horizontal="right"/>
    </xf>
    <xf numFmtId="3" fontId="4" fillId="0" borderId="67" xfId="0" applyNumberFormat="1" applyFont="1" applyBorder="1" applyAlignment="1">
      <alignment/>
    </xf>
    <xf numFmtId="3" fontId="4" fillId="0" borderId="66" xfId="0" applyNumberFormat="1" applyFont="1" applyBorder="1" applyAlignment="1">
      <alignment/>
    </xf>
    <xf numFmtId="3" fontId="4" fillId="0" borderId="66" xfId="0" applyNumberFormat="1" applyFont="1" applyBorder="1" applyAlignment="1">
      <alignment/>
    </xf>
    <xf numFmtId="3" fontId="5" fillId="0" borderId="40" xfId="0" applyNumberFormat="1" applyFont="1" applyBorder="1" applyAlignment="1">
      <alignment/>
    </xf>
    <xf numFmtId="3" fontId="4" fillId="0" borderId="62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7"/>
  <sheetViews>
    <sheetView workbookViewId="0" topLeftCell="A1">
      <pane xSplit="1" ySplit="7" topLeftCell="G8" activePane="bottomRight" state="frozen"/>
      <selection pane="topLeft" activeCell="Q31" sqref="Q31"/>
      <selection pane="topRight" activeCell="Q31" sqref="Q31"/>
      <selection pane="bottomLeft" activeCell="Q31" sqref="Q31"/>
      <selection pane="bottomRight" activeCell="U16" sqref="U16"/>
    </sheetView>
  </sheetViews>
  <sheetFormatPr defaultColWidth="9.125" defaultRowHeight="12.75"/>
  <cols>
    <col min="1" max="1" width="33.75390625" style="2" customWidth="1"/>
    <col min="2" max="2" width="15.00390625" style="2" hidden="1" customWidth="1"/>
    <col min="3" max="3" width="12.625" style="2" hidden="1" customWidth="1"/>
    <col min="4" max="6" width="12.75390625" style="20" hidden="1" customWidth="1"/>
    <col min="7" max="7" width="11.625" style="20" hidden="1" customWidth="1"/>
    <col min="8" max="8" width="10.875" style="20" hidden="1" customWidth="1"/>
    <col min="9" max="9" width="11.125" style="20" customWidth="1"/>
    <col min="10" max="10" width="10.25390625" style="20" customWidth="1"/>
    <col min="11" max="12" width="11.00390625" style="20" customWidth="1"/>
    <col min="13" max="13" width="10.125" style="2" hidden="1" customWidth="1"/>
    <col min="14" max="14" width="11.375" style="2" customWidth="1"/>
    <col min="15" max="16384" width="9.125" style="2" customWidth="1"/>
  </cols>
  <sheetData>
    <row r="1" spans="1:12" ht="12.75">
      <c r="A1" s="1" t="s">
        <v>59</v>
      </c>
      <c r="B1" s="1"/>
      <c r="C1" s="1"/>
      <c r="D1" s="19"/>
      <c r="E1" s="19"/>
      <c r="F1" s="19"/>
      <c r="G1" s="19"/>
      <c r="H1" s="19"/>
      <c r="I1" s="19"/>
      <c r="J1" s="19"/>
      <c r="K1" s="19"/>
      <c r="L1" s="19"/>
    </row>
    <row r="2" ht="12.75" hidden="1"/>
    <row r="3" ht="13.5" thickBot="1"/>
    <row r="4" spans="1:18" ht="12.75">
      <c r="A4" s="3"/>
      <c r="B4" s="31">
        <v>2000</v>
      </c>
      <c r="C4" s="34">
        <v>2001</v>
      </c>
      <c r="D4" s="34">
        <v>2002</v>
      </c>
      <c r="E4" s="34">
        <v>2003</v>
      </c>
      <c r="F4" s="34">
        <v>2004</v>
      </c>
      <c r="G4" s="34">
        <v>2005</v>
      </c>
      <c r="H4" s="34">
        <v>2006</v>
      </c>
      <c r="I4" s="34">
        <v>2007</v>
      </c>
      <c r="J4" s="34">
        <v>2008</v>
      </c>
      <c r="K4" s="80">
        <v>2009</v>
      </c>
      <c r="L4" s="34">
        <v>2010</v>
      </c>
      <c r="M4" s="174" t="s">
        <v>32</v>
      </c>
      <c r="N4" s="172">
        <v>2011</v>
      </c>
      <c r="O4" s="167" t="s">
        <v>32</v>
      </c>
      <c r="P4" s="48" t="s">
        <v>32</v>
      </c>
      <c r="Q4" s="48" t="s">
        <v>32</v>
      </c>
      <c r="R4" s="48" t="s">
        <v>32</v>
      </c>
    </row>
    <row r="5" spans="1:18" ht="12.75">
      <c r="A5" s="4" t="s">
        <v>0</v>
      </c>
      <c r="B5" s="32" t="s">
        <v>1</v>
      </c>
      <c r="C5" s="35" t="s">
        <v>1</v>
      </c>
      <c r="D5" s="35" t="s">
        <v>1</v>
      </c>
      <c r="E5" s="35" t="s">
        <v>1</v>
      </c>
      <c r="F5" s="35" t="s">
        <v>1</v>
      </c>
      <c r="G5" s="35" t="s">
        <v>1</v>
      </c>
      <c r="H5" s="35" t="s">
        <v>1</v>
      </c>
      <c r="I5" s="35" t="s">
        <v>1</v>
      </c>
      <c r="J5" s="35" t="s">
        <v>1</v>
      </c>
      <c r="K5" s="35" t="s">
        <v>1</v>
      </c>
      <c r="L5" s="35" t="s">
        <v>1</v>
      </c>
      <c r="M5" s="35" t="s">
        <v>49</v>
      </c>
      <c r="N5" s="49" t="s">
        <v>1</v>
      </c>
      <c r="O5" s="168" t="s">
        <v>48</v>
      </c>
      <c r="P5" s="49" t="s">
        <v>44</v>
      </c>
      <c r="Q5" s="49" t="s">
        <v>51</v>
      </c>
      <c r="R5" s="49" t="s">
        <v>60</v>
      </c>
    </row>
    <row r="6" spans="1:18" ht="13.5" thickBot="1">
      <c r="A6" s="5"/>
      <c r="B6" s="33" t="s">
        <v>34</v>
      </c>
      <c r="C6" s="74" t="s">
        <v>34</v>
      </c>
      <c r="D6" s="36" t="s">
        <v>34</v>
      </c>
      <c r="E6" s="75" t="s">
        <v>34</v>
      </c>
      <c r="F6" s="75" t="s">
        <v>39</v>
      </c>
      <c r="G6" s="36" t="s">
        <v>40</v>
      </c>
      <c r="H6" s="36" t="s">
        <v>40</v>
      </c>
      <c r="I6" s="36" t="s">
        <v>40</v>
      </c>
      <c r="J6" s="36" t="s">
        <v>40</v>
      </c>
      <c r="K6" s="36" t="s">
        <v>40</v>
      </c>
      <c r="L6" s="36" t="s">
        <v>40</v>
      </c>
      <c r="M6" s="175" t="s">
        <v>50</v>
      </c>
      <c r="N6" s="173" t="s">
        <v>40</v>
      </c>
      <c r="O6" s="169" t="s">
        <v>42</v>
      </c>
      <c r="P6" s="73" t="s">
        <v>45</v>
      </c>
      <c r="Q6" s="73" t="s">
        <v>52</v>
      </c>
      <c r="R6" s="73" t="s">
        <v>61</v>
      </c>
    </row>
    <row r="7" spans="1:18" ht="13.5" thickBot="1">
      <c r="A7" s="5" t="s">
        <v>2</v>
      </c>
      <c r="B7" s="51">
        <v>1</v>
      </c>
      <c r="C7" s="36">
        <v>2</v>
      </c>
      <c r="D7" s="36">
        <v>3</v>
      </c>
      <c r="E7" s="36">
        <v>4</v>
      </c>
      <c r="F7" s="36"/>
      <c r="G7" s="36">
        <v>1</v>
      </c>
      <c r="H7" s="36">
        <v>1</v>
      </c>
      <c r="I7" s="36">
        <v>1</v>
      </c>
      <c r="J7" s="36">
        <v>2</v>
      </c>
      <c r="K7" s="36">
        <v>3</v>
      </c>
      <c r="L7" s="36">
        <v>4</v>
      </c>
      <c r="M7" s="36" t="s">
        <v>33</v>
      </c>
      <c r="N7" s="173">
        <v>5</v>
      </c>
      <c r="O7" s="50" t="s">
        <v>54</v>
      </c>
      <c r="P7" s="50" t="s">
        <v>55</v>
      </c>
      <c r="Q7" s="50" t="s">
        <v>35</v>
      </c>
      <c r="R7" s="50" t="s">
        <v>36</v>
      </c>
    </row>
    <row r="8" spans="1:18" ht="12.75">
      <c r="A8" s="90" t="s">
        <v>38</v>
      </c>
      <c r="B8" s="89"/>
      <c r="C8" s="35"/>
      <c r="D8" s="35"/>
      <c r="E8" s="78"/>
      <c r="F8" s="101">
        <f>F9+F12</f>
        <v>338006</v>
      </c>
      <c r="G8" s="102">
        <f>G9+G12+G13+G14+G15</f>
        <v>573678</v>
      </c>
      <c r="H8" s="102">
        <f>H9+H12+H13+H14+H15</f>
        <v>716210</v>
      </c>
      <c r="I8" s="102">
        <f>I9+I12+I13+I14+I15</f>
        <v>618340</v>
      </c>
      <c r="J8" s="102">
        <f>J9+J11+J12+J13+J14+J15</f>
        <v>2456412</v>
      </c>
      <c r="K8" s="102">
        <f>K9+K11+K12+K13+K14+K15</f>
        <v>1871763</v>
      </c>
      <c r="L8" s="102">
        <f>L9+L11+L12+L13+L14+L15</f>
        <v>1400126.432</v>
      </c>
      <c r="M8" s="176">
        <f>H8/G8*100</f>
        <v>124.84529649036567</v>
      </c>
      <c r="N8" s="197">
        <f>N9+N11+N12+N13+N14+N15</f>
        <v>924189</v>
      </c>
      <c r="O8" s="103">
        <f>J8/I8*100</f>
        <v>397.2591131092926</v>
      </c>
      <c r="P8" s="103">
        <f>K8/J8*100</f>
        <v>76.19906595473398</v>
      </c>
      <c r="Q8" s="103">
        <f>L8/K8*100</f>
        <v>74.80254882696154</v>
      </c>
      <c r="R8" s="103">
        <f>N8/L8*100</f>
        <v>66.00753895345359</v>
      </c>
    </row>
    <row r="9" spans="1:18" ht="12.75">
      <c r="A9" s="135" t="s">
        <v>56</v>
      </c>
      <c r="B9" s="136"/>
      <c r="C9" s="137"/>
      <c r="D9" s="137"/>
      <c r="E9" s="138"/>
      <c r="F9" s="139">
        <v>0</v>
      </c>
      <c r="G9" s="156">
        <v>0</v>
      </c>
      <c r="H9" s="156"/>
      <c r="I9" s="156"/>
      <c r="J9" s="156"/>
      <c r="K9" s="156">
        <v>184660</v>
      </c>
      <c r="L9" s="156">
        <v>174220</v>
      </c>
      <c r="M9" s="98"/>
      <c r="N9" s="177">
        <v>164895</v>
      </c>
      <c r="O9" s="104"/>
      <c r="P9" s="104"/>
      <c r="Q9" s="104">
        <f aca="true" t="shared" si="0" ref="Q9:Q46">L9/K9*100</f>
        <v>94.34636629481209</v>
      </c>
      <c r="R9" s="104">
        <f aca="true" t="shared" si="1" ref="R9:R46">N9/L9*100</f>
        <v>94.6475720353576</v>
      </c>
    </row>
    <row r="10" spans="1:18" ht="12.75">
      <c r="A10" s="142" t="s">
        <v>53</v>
      </c>
      <c r="B10" s="157"/>
      <c r="C10" s="158"/>
      <c r="D10" s="158"/>
      <c r="E10" s="159"/>
      <c r="F10" s="160"/>
      <c r="G10" s="155">
        <v>0</v>
      </c>
      <c r="H10" s="155"/>
      <c r="I10" s="155"/>
      <c r="J10" s="155"/>
      <c r="K10" s="155"/>
      <c r="L10" s="155"/>
      <c r="M10" s="178"/>
      <c r="N10" s="179"/>
      <c r="O10" s="113"/>
      <c r="P10" s="113"/>
      <c r="Q10" s="113"/>
      <c r="R10" s="113"/>
    </row>
    <row r="11" spans="1:18" ht="12.75">
      <c r="A11" s="142" t="s">
        <v>57</v>
      </c>
      <c r="B11" s="157"/>
      <c r="C11" s="158"/>
      <c r="D11" s="158"/>
      <c r="E11" s="159"/>
      <c r="F11" s="160"/>
      <c r="G11" s="155">
        <v>0</v>
      </c>
      <c r="H11" s="155"/>
      <c r="I11" s="155"/>
      <c r="J11" s="155"/>
      <c r="K11" s="155"/>
      <c r="L11" s="155"/>
      <c r="M11" s="178"/>
      <c r="N11" s="179"/>
      <c r="O11" s="113"/>
      <c r="P11" s="113"/>
      <c r="Q11" s="113"/>
      <c r="R11" s="113"/>
    </row>
    <row r="12" spans="1:18" ht="12.75">
      <c r="A12" s="149" t="s">
        <v>46</v>
      </c>
      <c r="B12" s="107"/>
      <c r="C12" s="108"/>
      <c r="D12" s="59"/>
      <c r="E12" s="109"/>
      <c r="F12" s="110">
        <v>338006</v>
      </c>
      <c r="G12" s="111">
        <v>123998</v>
      </c>
      <c r="H12" s="111">
        <v>120732</v>
      </c>
      <c r="I12" s="111">
        <v>47171</v>
      </c>
      <c r="J12" s="111">
        <v>1809647</v>
      </c>
      <c r="K12" s="111">
        <v>1590609</v>
      </c>
      <c r="L12" s="111">
        <f>5675.265+247682.167+758757+5550+70710+18422+1126+6620</f>
        <v>1114542.432</v>
      </c>
      <c r="M12" s="178">
        <f aca="true" t="shared" si="2" ref="M12:M46">H12/G12*100</f>
        <v>97.36608654978306</v>
      </c>
      <c r="N12" s="179">
        <f>513441+6802+2814+54291+11570+99+5282</f>
        <v>594299</v>
      </c>
      <c r="O12" s="113">
        <f aca="true" t="shared" si="3" ref="O12:O46">J12/I12*100</f>
        <v>3836.354963854911</v>
      </c>
      <c r="P12" s="113">
        <f aca="true" t="shared" si="4" ref="P12:P46">K12/J12*100</f>
        <v>87.8960924423382</v>
      </c>
      <c r="Q12" s="113">
        <f t="shared" si="0"/>
        <v>70.07017010465802</v>
      </c>
      <c r="R12" s="113">
        <f t="shared" si="1"/>
        <v>53.32224085300684</v>
      </c>
    </row>
    <row r="13" spans="1:18" ht="12.75">
      <c r="A13" s="106" t="s">
        <v>43</v>
      </c>
      <c r="B13" s="107"/>
      <c r="C13" s="108"/>
      <c r="D13" s="59"/>
      <c r="E13" s="109"/>
      <c r="F13" s="110"/>
      <c r="G13" s="111">
        <v>449680</v>
      </c>
      <c r="H13" s="111">
        <v>595478</v>
      </c>
      <c r="I13" s="111">
        <v>570893</v>
      </c>
      <c r="J13" s="111">
        <v>639829</v>
      </c>
      <c r="K13" s="111">
        <v>27785</v>
      </c>
      <c r="L13" s="111">
        <v>11853</v>
      </c>
      <c r="M13" s="178">
        <f t="shared" si="2"/>
        <v>132.4226116349404</v>
      </c>
      <c r="N13" s="179">
        <v>2901</v>
      </c>
      <c r="O13" s="113">
        <f t="shared" si="3"/>
        <v>112.0751174037867</v>
      </c>
      <c r="P13" s="113">
        <f t="shared" si="4"/>
        <v>4.342566529494599</v>
      </c>
      <c r="Q13" s="113">
        <f t="shared" si="0"/>
        <v>42.65970847579629</v>
      </c>
      <c r="R13" s="113">
        <f t="shared" si="1"/>
        <v>24.474816502151352</v>
      </c>
    </row>
    <row r="14" spans="1:18" ht="12.75">
      <c r="A14" s="106" t="s">
        <v>41</v>
      </c>
      <c r="B14" s="107"/>
      <c r="C14" s="108"/>
      <c r="D14" s="59"/>
      <c r="E14" s="109"/>
      <c r="F14" s="110"/>
      <c r="G14" s="111">
        <v>0</v>
      </c>
      <c r="H14" s="111"/>
      <c r="I14" s="111">
        <v>276</v>
      </c>
      <c r="J14" s="111">
        <v>6936</v>
      </c>
      <c r="K14" s="111">
        <v>20764</v>
      </c>
      <c r="L14" s="111">
        <v>20461</v>
      </c>
      <c r="M14" s="111"/>
      <c r="N14" s="179">
        <v>20674</v>
      </c>
      <c r="O14" s="113">
        <f t="shared" si="3"/>
        <v>2513.0434782608695</v>
      </c>
      <c r="P14" s="113">
        <f t="shared" si="4"/>
        <v>299.3656286043829</v>
      </c>
      <c r="Q14" s="113">
        <f t="shared" si="0"/>
        <v>98.54074359468311</v>
      </c>
      <c r="R14" s="113">
        <f t="shared" si="1"/>
        <v>101.0410048384732</v>
      </c>
    </row>
    <row r="15" spans="1:18" ht="13.5" thickBot="1">
      <c r="A15" s="21" t="s">
        <v>47</v>
      </c>
      <c r="B15" s="91"/>
      <c r="C15" s="92"/>
      <c r="D15" s="26"/>
      <c r="E15" s="22"/>
      <c r="F15" s="99"/>
      <c r="G15" s="100">
        <v>0</v>
      </c>
      <c r="H15" s="100"/>
      <c r="I15" s="100"/>
      <c r="J15" s="100"/>
      <c r="K15" s="100">
        <v>47945</v>
      </c>
      <c r="L15" s="100">
        <f>899+78151</f>
        <v>79050</v>
      </c>
      <c r="M15" s="180"/>
      <c r="N15" s="193">
        <f>43157+98263</f>
        <v>141420</v>
      </c>
      <c r="O15" s="105"/>
      <c r="P15" s="105"/>
      <c r="Q15" s="105">
        <f t="shared" si="0"/>
        <v>164.87642089894672</v>
      </c>
      <c r="R15" s="105">
        <f t="shared" si="1"/>
        <v>178.89943074003796</v>
      </c>
    </row>
    <row r="16" spans="1:18" ht="12.75">
      <c r="A16" s="6" t="s">
        <v>3</v>
      </c>
      <c r="B16" s="42">
        <f aca="true" t="shared" si="5" ref="B16:K16">B18+B24</f>
        <v>2641229</v>
      </c>
      <c r="C16" s="38">
        <f t="shared" si="5"/>
        <v>2078135</v>
      </c>
      <c r="D16" s="38">
        <f t="shared" si="5"/>
        <v>2284497</v>
      </c>
      <c r="E16" s="7">
        <f t="shared" si="5"/>
        <v>2283058</v>
      </c>
      <c r="F16" s="7">
        <f t="shared" si="5"/>
        <v>2508569</v>
      </c>
      <c r="G16" s="38">
        <f t="shared" si="5"/>
        <v>2735528</v>
      </c>
      <c r="H16" s="38">
        <f t="shared" si="5"/>
        <v>2746825</v>
      </c>
      <c r="I16" s="38">
        <f t="shared" si="5"/>
        <v>2879133</v>
      </c>
      <c r="J16" s="38">
        <f>J18+J24</f>
        <v>2911332</v>
      </c>
      <c r="K16" s="38">
        <f t="shared" si="5"/>
        <v>4045189</v>
      </c>
      <c r="L16" s="38">
        <f>L18+L24</f>
        <v>3322409</v>
      </c>
      <c r="M16" s="181">
        <f t="shared" si="2"/>
        <v>100.41297329071391</v>
      </c>
      <c r="N16" s="198">
        <f>N18+N24</f>
        <v>2956951</v>
      </c>
      <c r="O16" s="65">
        <f t="shared" si="3"/>
        <v>101.11835750554073</v>
      </c>
      <c r="P16" s="129">
        <f t="shared" si="4"/>
        <v>138.94633109518256</v>
      </c>
      <c r="Q16" s="129">
        <f t="shared" si="0"/>
        <v>82.13235524965583</v>
      </c>
      <c r="R16" s="129">
        <f t="shared" si="1"/>
        <v>89.00021038950953</v>
      </c>
    </row>
    <row r="17" spans="1:18" ht="12.75">
      <c r="A17" s="8" t="s">
        <v>4</v>
      </c>
      <c r="B17" s="30"/>
      <c r="C17" s="53"/>
      <c r="D17" s="18"/>
      <c r="E17" s="9"/>
      <c r="F17" s="9"/>
      <c r="G17" s="18"/>
      <c r="H17" s="18"/>
      <c r="I17" s="18"/>
      <c r="J17" s="18"/>
      <c r="K17" s="18"/>
      <c r="L17" s="18"/>
      <c r="M17" s="18"/>
      <c r="N17" s="182"/>
      <c r="O17" s="66"/>
      <c r="P17" s="130"/>
      <c r="Q17" s="130"/>
      <c r="R17" s="130"/>
    </row>
    <row r="18" spans="1:18" ht="12.75">
      <c r="A18" s="6" t="s">
        <v>5</v>
      </c>
      <c r="B18" s="42">
        <f aca="true" t="shared" si="6" ref="B18:K18">B20+B21+B22</f>
        <v>707921</v>
      </c>
      <c r="C18" s="54">
        <f t="shared" si="6"/>
        <v>571808</v>
      </c>
      <c r="D18" s="38">
        <f t="shared" si="6"/>
        <v>600079</v>
      </c>
      <c r="E18" s="7">
        <f t="shared" si="6"/>
        <v>574149</v>
      </c>
      <c r="F18" s="7">
        <f t="shared" si="6"/>
        <v>671547</v>
      </c>
      <c r="G18" s="38">
        <f t="shared" si="6"/>
        <v>633848</v>
      </c>
      <c r="H18" s="38">
        <f t="shared" si="6"/>
        <v>684565</v>
      </c>
      <c r="I18" s="38">
        <f t="shared" si="6"/>
        <v>767091</v>
      </c>
      <c r="J18" s="38">
        <f>J20+J21+J22</f>
        <v>557396</v>
      </c>
      <c r="K18" s="38">
        <f t="shared" si="6"/>
        <v>1714489</v>
      </c>
      <c r="L18" s="38">
        <f>L20+L21+L22</f>
        <v>918755</v>
      </c>
      <c r="M18" s="181">
        <f t="shared" si="2"/>
        <v>108.00144514142191</v>
      </c>
      <c r="N18" s="198">
        <f>N20+N21+N22</f>
        <v>691621</v>
      </c>
      <c r="O18" s="65">
        <f t="shared" si="3"/>
        <v>72.66360835937327</v>
      </c>
      <c r="P18" s="129">
        <f t="shared" si="4"/>
        <v>307.58903903149644</v>
      </c>
      <c r="Q18" s="129">
        <f t="shared" si="0"/>
        <v>53.58768706010946</v>
      </c>
      <c r="R18" s="129">
        <f t="shared" si="1"/>
        <v>75.27806651392373</v>
      </c>
    </row>
    <row r="19" spans="1:18" ht="12.75">
      <c r="A19" s="8" t="s">
        <v>6</v>
      </c>
      <c r="B19" s="30"/>
      <c r="C19" s="55"/>
      <c r="D19" s="18"/>
      <c r="E19" s="9"/>
      <c r="F19" s="9"/>
      <c r="G19" s="18"/>
      <c r="H19" s="18"/>
      <c r="I19" s="18"/>
      <c r="J19" s="18"/>
      <c r="K19" s="18"/>
      <c r="L19" s="18"/>
      <c r="M19" s="18"/>
      <c r="N19" s="182"/>
      <c r="O19" s="66"/>
      <c r="P19" s="130"/>
      <c r="Q19" s="130"/>
      <c r="R19" s="130"/>
    </row>
    <row r="20" spans="1:18" ht="12.75">
      <c r="A20" s="8" t="s">
        <v>7</v>
      </c>
      <c r="B20" s="30">
        <v>354506</v>
      </c>
      <c r="C20" s="53">
        <v>355848</v>
      </c>
      <c r="D20" s="18">
        <v>359956</v>
      </c>
      <c r="E20" s="9">
        <v>349356</v>
      </c>
      <c r="F20" s="9">
        <v>314635</v>
      </c>
      <c r="G20" s="9">
        <v>356668</v>
      </c>
      <c r="H20" s="9">
        <v>447751</v>
      </c>
      <c r="I20" s="9">
        <v>468303</v>
      </c>
      <c r="J20" s="9">
        <v>416405</v>
      </c>
      <c r="K20" s="9">
        <v>1564084</v>
      </c>
      <c r="L20" s="18">
        <v>772047</v>
      </c>
      <c r="M20" s="64">
        <f t="shared" si="2"/>
        <v>125.53719425347943</v>
      </c>
      <c r="N20" s="182">
        <v>634274</v>
      </c>
      <c r="O20" s="66">
        <f t="shared" si="3"/>
        <v>88.91785873675803</v>
      </c>
      <c r="P20" s="130">
        <f t="shared" si="4"/>
        <v>375.61604687743903</v>
      </c>
      <c r="Q20" s="130">
        <f t="shared" si="0"/>
        <v>49.36096782525747</v>
      </c>
      <c r="R20" s="130">
        <f t="shared" si="1"/>
        <v>82.15484290464181</v>
      </c>
    </row>
    <row r="21" spans="1:18" ht="12.75">
      <c r="A21" s="8" t="s">
        <v>8</v>
      </c>
      <c r="B21" s="30">
        <v>337351</v>
      </c>
      <c r="C21" s="53">
        <v>215960</v>
      </c>
      <c r="D21" s="18">
        <v>240123</v>
      </c>
      <c r="E21" s="9">
        <v>211492</v>
      </c>
      <c r="F21" s="9">
        <v>237412</v>
      </c>
      <c r="G21" s="9">
        <v>89977</v>
      </c>
      <c r="H21" s="9">
        <v>126814</v>
      </c>
      <c r="I21" s="9">
        <v>100460</v>
      </c>
      <c r="J21" s="9">
        <v>140991</v>
      </c>
      <c r="K21" s="9">
        <v>150405</v>
      </c>
      <c r="L21" s="18">
        <v>146708</v>
      </c>
      <c r="M21" s="64">
        <f t="shared" si="2"/>
        <v>140.94046256265491</v>
      </c>
      <c r="N21" s="182">
        <v>57347</v>
      </c>
      <c r="O21" s="66">
        <f t="shared" si="3"/>
        <v>140.34541110889907</v>
      </c>
      <c r="P21" s="130">
        <f t="shared" si="4"/>
        <v>106.67702193757049</v>
      </c>
      <c r="Q21" s="130">
        <f t="shared" si="0"/>
        <v>97.54197001429473</v>
      </c>
      <c r="R21" s="130">
        <f t="shared" si="1"/>
        <v>39.089211222291894</v>
      </c>
    </row>
    <row r="22" spans="1:18" ht="12.75">
      <c r="A22" s="12" t="s">
        <v>9</v>
      </c>
      <c r="B22" s="43">
        <v>16064</v>
      </c>
      <c r="C22" s="56">
        <v>0</v>
      </c>
      <c r="D22" s="39">
        <v>0</v>
      </c>
      <c r="E22" s="13">
        <v>13301</v>
      </c>
      <c r="F22" s="13">
        <v>119500</v>
      </c>
      <c r="G22" s="13">
        <v>187203</v>
      </c>
      <c r="H22" s="13">
        <v>110000</v>
      </c>
      <c r="I22" s="13">
        <v>198328</v>
      </c>
      <c r="J22" s="39">
        <v>0</v>
      </c>
      <c r="K22" s="39">
        <v>0</v>
      </c>
      <c r="L22" s="39">
        <v>0</v>
      </c>
      <c r="M22" s="39">
        <f t="shared" si="2"/>
        <v>58.759742098150134</v>
      </c>
      <c r="N22" s="183"/>
      <c r="O22" s="72"/>
      <c r="P22" s="134"/>
      <c r="Q22" s="134"/>
      <c r="R22" s="134"/>
    </row>
    <row r="23" spans="1:18" ht="0.75" customHeight="1">
      <c r="A23" s="4"/>
      <c r="B23" s="24"/>
      <c r="C23" s="25"/>
      <c r="D23" s="37"/>
      <c r="E23" s="11"/>
      <c r="F23" s="11"/>
      <c r="G23" s="37"/>
      <c r="H23" s="37"/>
      <c r="I23" s="37"/>
      <c r="J23" s="37"/>
      <c r="K23" s="37"/>
      <c r="L23" s="37"/>
      <c r="M23" s="37"/>
      <c r="N23" s="184"/>
      <c r="O23" s="70" t="e">
        <f t="shared" si="3"/>
        <v>#DIV/0!</v>
      </c>
      <c r="P23" s="126" t="e">
        <f t="shared" si="4"/>
        <v>#DIV/0!</v>
      </c>
      <c r="Q23" s="126" t="e">
        <f t="shared" si="0"/>
        <v>#DIV/0!</v>
      </c>
      <c r="R23" s="126" t="e">
        <f t="shared" si="1"/>
        <v>#DIV/0!</v>
      </c>
    </row>
    <row r="24" spans="1:18" ht="12.75">
      <c r="A24" s="6" t="s">
        <v>10</v>
      </c>
      <c r="B24" s="42">
        <f aca="true" t="shared" si="7" ref="B24:K24">B26+B29+B30+B31+B32</f>
        <v>1933308</v>
      </c>
      <c r="C24" s="38">
        <f t="shared" si="7"/>
        <v>1506327</v>
      </c>
      <c r="D24" s="38">
        <f t="shared" si="7"/>
        <v>1684418</v>
      </c>
      <c r="E24" s="7">
        <f t="shared" si="7"/>
        <v>1708909</v>
      </c>
      <c r="F24" s="7">
        <f t="shared" si="7"/>
        <v>1837022</v>
      </c>
      <c r="G24" s="38">
        <f t="shared" si="7"/>
        <v>2101680</v>
      </c>
      <c r="H24" s="38">
        <f t="shared" si="7"/>
        <v>2062260</v>
      </c>
      <c r="I24" s="38">
        <f t="shared" si="7"/>
        <v>2112042</v>
      </c>
      <c r="J24" s="38">
        <f>J26+J29+J30+J31+J32</f>
        <v>2353936</v>
      </c>
      <c r="K24" s="38">
        <f t="shared" si="7"/>
        <v>2330700</v>
      </c>
      <c r="L24" s="38">
        <f>L26+L29+L30+L31+L32</f>
        <v>2403654</v>
      </c>
      <c r="M24" s="181">
        <f t="shared" si="2"/>
        <v>98.12435765673175</v>
      </c>
      <c r="N24" s="198">
        <f>N26+N29+N30+N31+N32</f>
        <v>2265330</v>
      </c>
      <c r="O24" s="65">
        <f t="shared" si="3"/>
        <v>111.45308663369384</v>
      </c>
      <c r="P24" s="129">
        <f t="shared" si="4"/>
        <v>99.0128873512279</v>
      </c>
      <c r="Q24" s="129">
        <f t="shared" si="0"/>
        <v>103.13013257819539</v>
      </c>
      <c r="R24" s="129">
        <f t="shared" si="1"/>
        <v>94.2452615892304</v>
      </c>
    </row>
    <row r="25" spans="1:18" ht="12.75">
      <c r="A25" s="8" t="s">
        <v>6</v>
      </c>
      <c r="B25" s="30"/>
      <c r="C25" s="53"/>
      <c r="D25" s="18"/>
      <c r="E25" s="9"/>
      <c r="F25" s="9"/>
      <c r="G25" s="18"/>
      <c r="H25" s="18"/>
      <c r="I25" s="18"/>
      <c r="J25" s="115"/>
      <c r="K25" s="115"/>
      <c r="L25" s="115"/>
      <c r="M25" s="64"/>
      <c r="N25" s="182"/>
      <c r="O25" s="66"/>
      <c r="P25" s="130"/>
      <c r="Q25" s="130"/>
      <c r="R25" s="130"/>
    </row>
    <row r="26" spans="1:18" ht="12.75">
      <c r="A26" s="14" t="s">
        <v>11</v>
      </c>
      <c r="B26" s="44">
        <f aca="true" t="shared" si="8" ref="B26:K26">B27+B28</f>
        <v>321580</v>
      </c>
      <c r="C26" s="57">
        <f t="shared" si="8"/>
        <v>394882</v>
      </c>
      <c r="D26" s="40">
        <f t="shared" si="8"/>
        <v>441864</v>
      </c>
      <c r="E26" s="15">
        <f t="shared" si="8"/>
        <v>498111</v>
      </c>
      <c r="F26" s="15">
        <f t="shared" si="8"/>
        <v>509738</v>
      </c>
      <c r="G26" s="40">
        <f t="shared" si="8"/>
        <v>546128</v>
      </c>
      <c r="H26" s="40">
        <f t="shared" si="8"/>
        <v>547669</v>
      </c>
      <c r="I26" s="40">
        <f t="shared" si="8"/>
        <v>580550</v>
      </c>
      <c r="J26" s="40">
        <f>J27+J28</f>
        <v>649002</v>
      </c>
      <c r="K26" s="40">
        <f t="shared" si="8"/>
        <v>684912</v>
      </c>
      <c r="L26" s="40">
        <f>L27+L28</f>
        <v>674453</v>
      </c>
      <c r="M26" s="185">
        <f t="shared" si="2"/>
        <v>100.28216828289338</v>
      </c>
      <c r="N26" s="199">
        <f>N27+N28</f>
        <v>544862</v>
      </c>
      <c r="O26" s="67">
        <f t="shared" si="3"/>
        <v>111.79088795108088</v>
      </c>
      <c r="P26" s="131">
        <f t="shared" si="4"/>
        <v>105.53311083787106</v>
      </c>
      <c r="Q26" s="131">
        <f t="shared" si="0"/>
        <v>98.47294250940267</v>
      </c>
      <c r="R26" s="131">
        <f t="shared" si="1"/>
        <v>80.78576268472378</v>
      </c>
    </row>
    <row r="27" spans="1:18" ht="12.75">
      <c r="A27" s="8" t="s">
        <v>12</v>
      </c>
      <c r="B27" s="30">
        <v>309037</v>
      </c>
      <c r="C27" s="53">
        <v>385951</v>
      </c>
      <c r="D27" s="18">
        <v>433009</v>
      </c>
      <c r="E27" s="9">
        <v>488776</v>
      </c>
      <c r="F27" s="9">
        <v>501378</v>
      </c>
      <c r="G27" s="9">
        <v>504704</v>
      </c>
      <c r="H27" s="9">
        <v>531678</v>
      </c>
      <c r="I27" s="9">
        <v>561768</v>
      </c>
      <c r="J27" s="9">
        <v>630127</v>
      </c>
      <c r="K27" s="9">
        <v>666126</v>
      </c>
      <c r="L27" s="18">
        <v>648681</v>
      </c>
      <c r="M27" s="64">
        <f t="shared" si="2"/>
        <v>105.34451876743596</v>
      </c>
      <c r="N27" s="182">
        <v>533124</v>
      </c>
      <c r="O27" s="66">
        <f t="shared" si="3"/>
        <v>112.16854644621978</v>
      </c>
      <c r="P27" s="130">
        <f t="shared" si="4"/>
        <v>105.71297532084802</v>
      </c>
      <c r="Q27" s="130">
        <f t="shared" si="0"/>
        <v>97.38112609326164</v>
      </c>
      <c r="R27" s="130">
        <f t="shared" si="1"/>
        <v>82.18585098068235</v>
      </c>
    </row>
    <row r="28" spans="1:18" ht="12.75">
      <c r="A28" s="23" t="s">
        <v>13</v>
      </c>
      <c r="B28" s="52">
        <v>12543</v>
      </c>
      <c r="C28" s="61">
        <v>8931</v>
      </c>
      <c r="D28" s="18">
        <v>8855</v>
      </c>
      <c r="E28" s="9">
        <v>9335</v>
      </c>
      <c r="F28" s="9">
        <v>8360</v>
      </c>
      <c r="G28" s="9">
        <v>41424</v>
      </c>
      <c r="H28" s="9">
        <v>15991</v>
      </c>
      <c r="I28" s="9">
        <v>18782</v>
      </c>
      <c r="J28" s="9">
        <v>18875</v>
      </c>
      <c r="K28" s="9">
        <v>18786</v>
      </c>
      <c r="L28" s="18">
        <v>25772</v>
      </c>
      <c r="M28" s="64">
        <f t="shared" si="2"/>
        <v>38.60322518346852</v>
      </c>
      <c r="N28" s="182">
        <v>11738</v>
      </c>
      <c r="O28" s="66">
        <f t="shared" si="3"/>
        <v>100.49515493557661</v>
      </c>
      <c r="P28" s="130">
        <f t="shared" si="4"/>
        <v>99.52847682119206</v>
      </c>
      <c r="Q28" s="130">
        <f t="shared" si="0"/>
        <v>137.18726711380816</v>
      </c>
      <c r="R28" s="130">
        <f t="shared" si="1"/>
        <v>45.54555331367375</v>
      </c>
    </row>
    <row r="29" spans="1:18" ht="12.75">
      <c r="A29" s="16" t="s">
        <v>14</v>
      </c>
      <c r="B29" s="45">
        <v>111656</v>
      </c>
      <c r="C29" s="58">
        <v>136974</v>
      </c>
      <c r="D29" s="41">
        <v>153676</v>
      </c>
      <c r="E29" s="17">
        <v>173076</v>
      </c>
      <c r="F29" s="15">
        <v>177485</v>
      </c>
      <c r="G29" s="17">
        <v>179624</v>
      </c>
      <c r="H29" s="17">
        <v>190290</v>
      </c>
      <c r="I29" s="17">
        <v>201126</v>
      </c>
      <c r="J29" s="17">
        <v>224360</v>
      </c>
      <c r="K29" s="17">
        <v>228551</v>
      </c>
      <c r="L29" s="41">
        <v>223186</v>
      </c>
      <c r="M29" s="186">
        <f t="shared" si="2"/>
        <v>105.93795929274485</v>
      </c>
      <c r="N29" s="200">
        <v>183658</v>
      </c>
      <c r="O29" s="68">
        <f t="shared" si="3"/>
        <v>111.55196245139862</v>
      </c>
      <c r="P29" s="132">
        <f t="shared" si="4"/>
        <v>101.86798003209128</v>
      </c>
      <c r="Q29" s="132">
        <f t="shared" si="0"/>
        <v>97.65260270136643</v>
      </c>
      <c r="R29" s="132">
        <f t="shared" si="1"/>
        <v>82.28921168890521</v>
      </c>
    </row>
    <row r="30" spans="1:18" ht="12.75">
      <c r="A30" s="16" t="s">
        <v>15</v>
      </c>
      <c r="B30" s="45">
        <v>6181</v>
      </c>
      <c r="C30" s="58">
        <v>7802</v>
      </c>
      <c r="D30" s="41">
        <v>8646</v>
      </c>
      <c r="E30" s="17">
        <v>9775</v>
      </c>
      <c r="F30" s="15">
        <v>10034</v>
      </c>
      <c r="G30" s="17">
        <v>10094</v>
      </c>
      <c r="H30" s="17">
        <v>10644</v>
      </c>
      <c r="I30" s="17">
        <v>11227</v>
      </c>
      <c r="J30" s="17">
        <v>12613</v>
      </c>
      <c r="K30" s="17">
        <v>13349</v>
      </c>
      <c r="L30" s="41">
        <v>13015</v>
      </c>
      <c r="M30" s="186">
        <f t="shared" si="2"/>
        <v>105.44878145432929</v>
      </c>
      <c r="N30" s="200">
        <v>5332</v>
      </c>
      <c r="O30" s="68">
        <f t="shared" si="3"/>
        <v>112.34523915560702</v>
      </c>
      <c r="P30" s="132">
        <f t="shared" si="4"/>
        <v>105.83524934591296</v>
      </c>
      <c r="Q30" s="132">
        <f t="shared" si="0"/>
        <v>97.4979399205933</v>
      </c>
      <c r="R30" s="132">
        <f t="shared" si="1"/>
        <v>40.968113714944295</v>
      </c>
    </row>
    <row r="31" spans="1:18" ht="12.75">
      <c r="A31" s="14" t="s">
        <v>16</v>
      </c>
      <c r="B31" s="44">
        <v>0</v>
      </c>
      <c r="C31" s="57">
        <v>0</v>
      </c>
      <c r="D31" s="41">
        <f>SUM(MF!B49)</f>
        <v>0</v>
      </c>
      <c r="E31" s="17">
        <v>0</v>
      </c>
      <c r="F31" s="17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185"/>
      <c r="N31" s="199">
        <v>0</v>
      </c>
      <c r="O31" s="68"/>
      <c r="P31" s="132"/>
      <c r="Q31" s="132"/>
      <c r="R31" s="132"/>
    </row>
    <row r="32" spans="1:18" ht="12.75">
      <c r="A32" s="14" t="s">
        <v>17</v>
      </c>
      <c r="B32" s="44">
        <f aca="true" t="shared" si="9" ref="B32:K32">B34+B35+B36+B38+B42</f>
        <v>1493891</v>
      </c>
      <c r="C32" s="57">
        <f t="shared" si="9"/>
        <v>966669</v>
      </c>
      <c r="D32" s="40">
        <f t="shared" si="9"/>
        <v>1080232</v>
      </c>
      <c r="E32" s="15">
        <f t="shared" si="9"/>
        <v>1027947</v>
      </c>
      <c r="F32" s="15">
        <f t="shared" si="9"/>
        <v>1139765</v>
      </c>
      <c r="G32" s="40">
        <f t="shared" si="9"/>
        <v>1365834</v>
      </c>
      <c r="H32" s="40">
        <f t="shared" si="9"/>
        <v>1313657</v>
      </c>
      <c r="I32" s="40">
        <f t="shared" si="9"/>
        <v>1319139</v>
      </c>
      <c r="J32" s="40">
        <f>J34+J35+J36+J38+J42</f>
        <v>1467961</v>
      </c>
      <c r="K32" s="40">
        <f t="shared" si="9"/>
        <v>1403888</v>
      </c>
      <c r="L32" s="40">
        <f>L34+L35+L36+L38+L42</f>
        <v>1493000</v>
      </c>
      <c r="M32" s="185">
        <f t="shared" si="2"/>
        <v>96.17984323131508</v>
      </c>
      <c r="N32" s="199">
        <f>N34+N35+N36+N38+N42</f>
        <v>1531478</v>
      </c>
      <c r="O32" s="67">
        <f t="shared" si="3"/>
        <v>111.28175271900838</v>
      </c>
      <c r="P32" s="131">
        <f t="shared" si="4"/>
        <v>95.63523826586675</v>
      </c>
      <c r="Q32" s="131">
        <f t="shared" si="0"/>
        <v>106.34751490147363</v>
      </c>
      <c r="R32" s="131">
        <f t="shared" si="1"/>
        <v>102.57722705961152</v>
      </c>
    </row>
    <row r="33" spans="1:18" ht="12.75">
      <c r="A33" s="8" t="s">
        <v>18</v>
      </c>
      <c r="B33" s="30"/>
      <c r="C33" s="53"/>
      <c r="D33" s="18"/>
      <c r="E33" s="9"/>
      <c r="F33" s="9"/>
      <c r="G33" s="18"/>
      <c r="H33" s="18"/>
      <c r="I33" s="18"/>
      <c r="J33" s="18"/>
      <c r="K33" s="18"/>
      <c r="L33" s="18"/>
      <c r="M33" s="64"/>
      <c r="N33" s="182"/>
      <c r="O33" s="66"/>
      <c r="P33" s="130"/>
      <c r="Q33" s="130"/>
      <c r="R33" s="130"/>
    </row>
    <row r="34" spans="1:18" ht="12.75">
      <c r="A34" s="8" t="s">
        <v>19</v>
      </c>
      <c r="B34" s="30">
        <v>45494</v>
      </c>
      <c r="C34" s="27">
        <v>40345</v>
      </c>
      <c r="D34" s="9">
        <v>46000</v>
      </c>
      <c r="E34" s="9">
        <v>104118</v>
      </c>
      <c r="F34" s="9">
        <v>47206</v>
      </c>
      <c r="G34" s="9">
        <v>91545</v>
      </c>
      <c r="H34" s="9">
        <v>29337</v>
      </c>
      <c r="I34" s="9">
        <v>30293</v>
      </c>
      <c r="J34" s="9">
        <v>33134</v>
      </c>
      <c r="K34" s="9">
        <v>32464</v>
      </c>
      <c r="L34" s="18">
        <v>45230</v>
      </c>
      <c r="M34" s="64">
        <f t="shared" si="2"/>
        <v>32.04653449123382</v>
      </c>
      <c r="N34" s="182">
        <v>17571</v>
      </c>
      <c r="O34" s="66">
        <f t="shared" si="3"/>
        <v>109.37840425180734</v>
      </c>
      <c r="P34" s="130">
        <f t="shared" si="4"/>
        <v>97.97790788917729</v>
      </c>
      <c r="Q34" s="130">
        <f t="shared" si="0"/>
        <v>139.32355840315427</v>
      </c>
      <c r="R34" s="130">
        <f t="shared" si="1"/>
        <v>38.84810966172894</v>
      </c>
    </row>
    <row r="35" spans="1:18" ht="12.75">
      <c r="A35" s="8" t="s">
        <v>20</v>
      </c>
      <c r="B35" s="30">
        <v>24349</v>
      </c>
      <c r="C35" s="27">
        <v>14378</v>
      </c>
      <c r="D35" s="9">
        <v>17136</v>
      </c>
      <c r="E35" s="9">
        <v>16001</v>
      </c>
      <c r="F35" s="9">
        <v>16865</v>
      </c>
      <c r="G35" s="9">
        <v>21415</v>
      </c>
      <c r="H35" s="9">
        <v>25175</v>
      </c>
      <c r="I35" s="9">
        <v>24487</v>
      </c>
      <c r="J35" s="9">
        <v>35799</v>
      </c>
      <c r="K35" s="9">
        <v>40624</v>
      </c>
      <c r="L35" s="18">
        <v>41722</v>
      </c>
      <c r="M35" s="64">
        <f t="shared" si="2"/>
        <v>117.55778659817884</v>
      </c>
      <c r="N35" s="182">
        <v>32492</v>
      </c>
      <c r="O35" s="66">
        <f t="shared" si="3"/>
        <v>146.19594070323026</v>
      </c>
      <c r="P35" s="130">
        <f t="shared" si="4"/>
        <v>113.47803011257298</v>
      </c>
      <c r="Q35" s="130">
        <f t="shared" si="0"/>
        <v>102.70283576211108</v>
      </c>
      <c r="R35" s="130">
        <f t="shared" si="1"/>
        <v>77.87737884089928</v>
      </c>
    </row>
    <row r="36" spans="1:18" ht="12.75">
      <c r="A36" s="8" t="s">
        <v>21</v>
      </c>
      <c r="B36" s="30">
        <v>1280813</v>
      </c>
      <c r="C36" s="27">
        <v>638740</v>
      </c>
      <c r="D36" s="9">
        <v>782573</v>
      </c>
      <c r="E36" s="9">
        <v>612257</v>
      </c>
      <c r="F36" s="9">
        <v>575446</v>
      </c>
      <c r="G36" s="27">
        <v>625421</v>
      </c>
      <c r="H36" s="9">
        <v>696994</v>
      </c>
      <c r="I36" s="9">
        <v>648118</v>
      </c>
      <c r="J36" s="9">
        <v>1034303</v>
      </c>
      <c r="K36" s="9">
        <v>993833</v>
      </c>
      <c r="L36" s="18">
        <v>1208001</v>
      </c>
      <c r="M36" s="64">
        <f t="shared" si="2"/>
        <v>111.44397134090475</v>
      </c>
      <c r="N36" s="182">
        <v>1222706</v>
      </c>
      <c r="O36" s="66">
        <f t="shared" si="3"/>
        <v>159.58560015305855</v>
      </c>
      <c r="P36" s="130">
        <f t="shared" si="4"/>
        <v>96.08722008927751</v>
      </c>
      <c r="Q36" s="130">
        <f t="shared" si="0"/>
        <v>121.54969698128357</v>
      </c>
      <c r="R36" s="130">
        <f t="shared" si="1"/>
        <v>101.21730031680438</v>
      </c>
    </row>
    <row r="37" spans="1:18" ht="12.75" hidden="1">
      <c r="A37" s="8" t="s">
        <v>22</v>
      </c>
      <c r="B37" s="30">
        <v>124563</v>
      </c>
      <c r="C37" s="27">
        <v>1493</v>
      </c>
      <c r="D37" s="9">
        <v>2015</v>
      </c>
      <c r="E37" s="9">
        <v>1419</v>
      </c>
      <c r="F37" s="9">
        <v>1982</v>
      </c>
      <c r="G37" s="27"/>
      <c r="H37" s="9"/>
      <c r="I37" s="9"/>
      <c r="J37" s="9"/>
      <c r="K37" s="9"/>
      <c r="L37" s="18"/>
      <c r="M37" s="64" t="e">
        <f t="shared" si="2"/>
        <v>#DIV/0!</v>
      </c>
      <c r="N37" s="182"/>
      <c r="O37" s="66" t="e">
        <f t="shared" si="3"/>
        <v>#DIV/0!</v>
      </c>
      <c r="P37" s="130" t="e">
        <f t="shared" si="4"/>
        <v>#DIV/0!</v>
      </c>
      <c r="Q37" s="130" t="e">
        <f t="shared" si="0"/>
        <v>#DIV/0!</v>
      </c>
      <c r="R37" s="130" t="e">
        <f t="shared" si="1"/>
        <v>#DIV/0!</v>
      </c>
    </row>
    <row r="38" spans="1:18" ht="12.75">
      <c r="A38" s="8" t="s">
        <v>23</v>
      </c>
      <c r="B38" s="30">
        <v>113379</v>
      </c>
      <c r="C38" s="27">
        <v>170551</v>
      </c>
      <c r="D38" s="9">
        <v>137953</v>
      </c>
      <c r="E38" s="9">
        <v>236896</v>
      </c>
      <c r="F38" s="9">
        <v>267229</v>
      </c>
      <c r="G38" s="27">
        <v>342838</v>
      </c>
      <c r="H38" s="9">
        <v>322614</v>
      </c>
      <c r="I38" s="9">
        <v>341325</v>
      </c>
      <c r="J38" s="9">
        <v>193371</v>
      </c>
      <c r="K38" s="9">
        <v>156659</v>
      </c>
      <c r="L38" s="18">
        <v>121386</v>
      </c>
      <c r="M38" s="64">
        <f t="shared" si="2"/>
        <v>94.10100397272181</v>
      </c>
      <c r="N38" s="18">
        <v>89632</v>
      </c>
      <c r="O38" s="66">
        <f t="shared" si="3"/>
        <v>56.65304328718963</v>
      </c>
      <c r="P38" s="130">
        <f t="shared" si="4"/>
        <v>81.01473333643618</v>
      </c>
      <c r="Q38" s="130">
        <f t="shared" si="0"/>
        <v>77.48421731276211</v>
      </c>
      <c r="R38" s="130">
        <f t="shared" si="1"/>
        <v>73.84047583741123</v>
      </c>
    </row>
    <row r="39" spans="1:18" ht="12.75" hidden="1">
      <c r="A39" s="8" t="s">
        <v>24</v>
      </c>
      <c r="B39" s="30">
        <v>85228</v>
      </c>
      <c r="C39" s="27">
        <v>141347</v>
      </c>
      <c r="D39" s="9">
        <v>106383</v>
      </c>
      <c r="E39" s="9">
        <v>185836</v>
      </c>
      <c r="F39" s="9">
        <v>199204</v>
      </c>
      <c r="G39" s="27"/>
      <c r="H39" s="9"/>
      <c r="I39" s="9"/>
      <c r="J39" s="9"/>
      <c r="K39" s="9"/>
      <c r="L39" s="18"/>
      <c r="M39" s="64" t="e">
        <f t="shared" si="2"/>
        <v>#DIV/0!</v>
      </c>
      <c r="N39" s="18"/>
      <c r="O39" s="66" t="e">
        <f t="shared" si="3"/>
        <v>#DIV/0!</v>
      </c>
      <c r="P39" s="130" t="e">
        <f t="shared" si="4"/>
        <v>#DIV/0!</v>
      </c>
      <c r="Q39" s="130" t="e">
        <f t="shared" si="0"/>
        <v>#DIV/0!</v>
      </c>
      <c r="R39" s="130" t="e">
        <f t="shared" si="1"/>
        <v>#DIV/0!</v>
      </c>
    </row>
    <row r="40" spans="1:18" ht="12.75" hidden="1">
      <c r="A40" s="8" t="s">
        <v>25</v>
      </c>
      <c r="B40" s="30">
        <v>831</v>
      </c>
      <c r="C40" s="27">
        <v>473</v>
      </c>
      <c r="D40" s="9">
        <v>1035</v>
      </c>
      <c r="E40" s="9">
        <v>17049</v>
      </c>
      <c r="F40" s="9">
        <v>32205</v>
      </c>
      <c r="G40" s="27"/>
      <c r="H40" s="9"/>
      <c r="I40" s="9"/>
      <c r="J40" s="9"/>
      <c r="K40" s="9"/>
      <c r="L40" s="18"/>
      <c r="M40" s="64" t="e">
        <f t="shared" si="2"/>
        <v>#DIV/0!</v>
      </c>
      <c r="N40" s="18"/>
      <c r="O40" s="66" t="e">
        <f t="shared" si="3"/>
        <v>#DIV/0!</v>
      </c>
      <c r="P40" s="130" t="e">
        <f t="shared" si="4"/>
        <v>#DIV/0!</v>
      </c>
      <c r="Q40" s="130" t="e">
        <f t="shared" si="0"/>
        <v>#DIV/0!</v>
      </c>
      <c r="R40" s="130" t="e">
        <f t="shared" si="1"/>
        <v>#DIV/0!</v>
      </c>
    </row>
    <row r="41" spans="1:18" ht="12.75" hidden="1">
      <c r="A41" s="8" t="s">
        <v>26</v>
      </c>
      <c r="B41" s="30">
        <v>22650</v>
      </c>
      <c r="C41" s="27">
        <v>25981</v>
      </c>
      <c r="D41" s="9">
        <v>28150</v>
      </c>
      <c r="E41" s="9">
        <v>31862</v>
      </c>
      <c r="F41" s="9">
        <v>32824</v>
      </c>
      <c r="G41" s="27"/>
      <c r="H41" s="9"/>
      <c r="I41" s="9"/>
      <c r="J41" s="9"/>
      <c r="K41" s="9"/>
      <c r="L41" s="18"/>
      <c r="M41" s="64" t="e">
        <f t="shared" si="2"/>
        <v>#DIV/0!</v>
      </c>
      <c r="N41" s="18"/>
      <c r="O41" s="66" t="e">
        <f t="shared" si="3"/>
        <v>#DIV/0!</v>
      </c>
      <c r="P41" s="130" t="e">
        <f t="shared" si="4"/>
        <v>#DIV/0!</v>
      </c>
      <c r="Q41" s="130" t="e">
        <f t="shared" si="0"/>
        <v>#DIV/0!</v>
      </c>
      <c r="R41" s="130" t="e">
        <f t="shared" si="1"/>
        <v>#DIV/0!</v>
      </c>
    </row>
    <row r="42" spans="1:20" ht="13.5" thickBot="1">
      <c r="A42" s="21" t="s">
        <v>27</v>
      </c>
      <c r="B42" s="46">
        <v>29856</v>
      </c>
      <c r="C42" s="59">
        <v>102655</v>
      </c>
      <c r="D42" s="22">
        <v>96570</v>
      </c>
      <c r="E42" s="22">
        <v>58675</v>
      </c>
      <c r="F42" s="22">
        <v>233019</v>
      </c>
      <c r="G42" s="26">
        <v>284615</v>
      </c>
      <c r="H42" s="22">
        <v>239537</v>
      </c>
      <c r="I42" s="22">
        <v>274916</v>
      </c>
      <c r="J42" s="22">
        <v>171354</v>
      </c>
      <c r="K42" s="22">
        <v>180308</v>
      </c>
      <c r="L42" s="187">
        <v>76661</v>
      </c>
      <c r="M42" s="188">
        <f t="shared" si="2"/>
        <v>84.16176238075998</v>
      </c>
      <c r="N42" s="187">
        <v>169077</v>
      </c>
      <c r="O42" s="69">
        <f t="shared" si="3"/>
        <v>62.329584309389055</v>
      </c>
      <c r="P42" s="105">
        <f t="shared" si="4"/>
        <v>105.2254397329505</v>
      </c>
      <c r="Q42" s="105">
        <f t="shared" si="0"/>
        <v>42.516693657519355</v>
      </c>
      <c r="R42" s="105">
        <f t="shared" si="1"/>
        <v>220.55151902531924</v>
      </c>
      <c r="T42" s="164"/>
    </row>
    <row r="43" spans="1:18" ht="12.75">
      <c r="A43" s="8" t="s">
        <v>28</v>
      </c>
      <c r="B43" s="30">
        <v>1206</v>
      </c>
      <c r="C43" s="60">
        <v>1323</v>
      </c>
      <c r="D43" s="9">
        <v>1400</v>
      </c>
      <c r="E43" s="9">
        <v>1442</v>
      </c>
      <c r="F43" s="9">
        <v>1449</v>
      </c>
      <c r="G43" s="9">
        <v>1411</v>
      </c>
      <c r="H43" s="9">
        <v>1286</v>
      </c>
      <c r="I43" s="9">
        <v>1306</v>
      </c>
      <c r="J43" s="9">
        <v>1374</v>
      </c>
      <c r="K43" s="9">
        <v>1386</v>
      </c>
      <c r="L43" s="18">
        <v>1373</v>
      </c>
      <c r="M43" s="64">
        <f t="shared" si="2"/>
        <v>91.14103472714386</v>
      </c>
      <c r="N43" s="182">
        <v>1104</v>
      </c>
      <c r="O43" s="66">
        <f t="shared" si="3"/>
        <v>105.20673813169985</v>
      </c>
      <c r="P43" s="130">
        <f t="shared" si="4"/>
        <v>100.87336244541486</v>
      </c>
      <c r="Q43" s="130">
        <f t="shared" si="0"/>
        <v>99.06204906204906</v>
      </c>
      <c r="R43" s="130">
        <f t="shared" si="1"/>
        <v>80.40786598689003</v>
      </c>
    </row>
    <row r="44" spans="1:18" ht="12.75">
      <c r="A44" s="4" t="s">
        <v>30</v>
      </c>
      <c r="B44" s="28">
        <f aca="true" t="shared" si="10" ref="B44:N44">ROUND(B27/B43/12*1000,0)</f>
        <v>21354</v>
      </c>
      <c r="C44" s="27">
        <f t="shared" si="10"/>
        <v>24310</v>
      </c>
      <c r="D44" s="9">
        <f t="shared" si="10"/>
        <v>25774</v>
      </c>
      <c r="E44" s="9">
        <f t="shared" si="10"/>
        <v>28246</v>
      </c>
      <c r="F44" s="9">
        <f t="shared" si="10"/>
        <v>28835</v>
      </c>
      <c r="G44" s="18">
        <f t="shared" si="10"/>
        <v>29808</v>
      </c>
      <c r="H44" s="18">
        <f>ROUND(H27/H43/12*1000,0)</f>
        <v>34453</v>
      </c>
      <c r="I44" s="18">
        <f>ROUND(I27/I43/12*1000,0)</f>
        <v>35845</v>
      </c>
      <c r="J44" s="18">
        <f t="shared" si="10"/>
        <v>38217</v>
      </c>
      <c r="K44" s="18">
        <f t="shared" si="10"/>
        <v>40051</v>
      </c>
      <c r="L44" s="18">
        <f t="shared" si="10"/>
        <v>39371</v>
      </c>
      <c r="M44" s="64">
        <f t="shared" si="2"/>
        <v>115.58306494900698</v>
      </c>
      <c r="N44" s="182">
        <f t="shared" si="10"/>
        <v>40242</v>
      </c>
      <c r="O44" s="66">
        <f t="shared" si="3"/>
        <v>106.61738038778073</v>
      </c>
      <c r="P44" s="130">
        <f t="shared" si="4"/>
        <v>104.79891147918465</v>
      </c>
      <c r="Q44" s="130">
        <f t="shared" si="0"/>
        <v>98.30216473995655</v>
      </c>
      <c r="R44" s="130">
        <f t="shared" si="1"/>
        <v>102.21228823245536</v>
      </c>
    </row>
    <row r="45" spans="1:18" ht="12.75" hidden="1">
      <c r="A45" s="106" t="s">
        <v>31</v>
      </c>
      <c r="B45" s="24"/>
      <c r="C45" s="59"/>
      <c r="D45" s="11">
        <f>SUM(MF!B63)</f>
        <v>0</v>
      </c>
      <c r="E45" s="11"/>
      <c r="F45" s="11"/>
      <c r="G45" s="37"/>
      <c r="H45" s="37"/>
      <c r="I45" s="37"/>
      <c r="J45" s="37"/>
      <c r="K45" s="37"/>
      <c r="L45" s="37"/>
      <c r="M45" s="189" t="e">
        <f t="shared" si="2"/>
        <v>#DIV/0!</v>
      </c>
      <c r="N45" s="184"/>
      <c r="O45" s="70" t="e">
        <f t="shared" si="3"/>
        <v>#DIV/0!</v>
      </c>
      <c r="P45" s="126" t="e">
        <f t="shared" si="4"/>
        <v>#DIV/0!</v>
      </c>
      <c r="Q45" s="126" t="e">
        <f t="shared" si="0"/>
        <v>#DIV/0!</v>
      </c>
      <c r="R45" s="126" t="e">
        <f t="shared" si="1"/>
        <v>#DIV/0!</v>
      </c>
    </row>
    <row r="46" spans="1:18" ht="13.5" thickBot="1">
      <c r="A46" s="21" t="s">
        <v>29</v>
      </c>
      <c r="B46" s="46">
        <f aca="true" t="shared" si="11" ref="B46:K46">B32/B43*1000</f>
        <v>1238715.5887230516</v>
      </c>
      <c r="C46" s="26">
        <f t="shared" si="11"/>
        <v>730664.3990929705</v>
      </c>
      <c r="D46" s="22">
        <f t="shared" si="11"/>
        <v>771594.2857142857</v>
      </c>
      <c r="E46" s="22">
        <f t="shared" si="11"/>
        <v>712861.9972260749</v>
      </c>
      <c r="F46" s="22">
        <f t="shared" si="11"/>
        <v>786587.3015873015</v>
      </c>
      <c r="G46" s="26">
        <f>G32/G43*1000</f>
        <v>967990.0779588944</v>
      </c>
      <c r="H46" s="79">
        <f>H32/H43*1000</f>
        <v>1021506.2208398134</v>
      </c>
      <c r="I46" s="79">
        <f>I32/I43*1000</f>
        <v>1010060.4900459418</v>
      </c>
      <c r="J46" s="79">
        <f>J32/J43*1000</f>
        <v>1068385.0072780203</v>
      </c>
      <c r="K46" s="79">
        <f t="shared" si="11"/>
        <v>1012906.204906205</v>
      </c>
      <c r="L46" s="79">
        <f>L32/L43*1000</f>
        <v>1087399.854333576</v>
      </c>
      <c r="M46" s="190">
        <f t="shared" si="2"/>
        <v>105.5285838253387</v>
      </c>
      <c r="N46" s="201">
        <f>N32/N43*1000</f>
        <v>1387208.3333333333</v>
      </c>
      <c r="O46" s="71">
        <f t="shared" si="3"/>
        <v>105.77435884354071</v>
      </c>
      <c r="P46" s="133">
        <f t="shared" si="4"/>
        <v>94.80722754495015</v>
      </c>
      <c r="Q46" s="133">
        <f t="shared" si="0"/>
        <v>107.35444694351233</v>
      </c>
      <c r="R46" s="133">
        <f t="shared" si="1"/>
        <v>127.5711347398973</v>
      </c>
    </row>
    <row r="47" ht="12.75">
      <c r="A47" s="2" t="s">
        <v>58</v>
      </c>
    </row>
  </sheetData>
  <printOptions/>
  <pageMargins left="0.5905511811023623" right="0.7874015748031497" top="0.984251968503937" bottom="0.1968503937007874" header="0.9055118110236221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7"/>
  <sheetViews>
    <sheetView tabSelected="1" workbookViewId="0" topLeftCell="A1">
      <selection activeCell="V28" sqref="V28"/>
    </sheetView>
  </sheetViews>
  <sheetFormatPr defaultColWidth="9.125" defaultRowHeight="12.75"/>
  <cols>
    <col min="1" max="1" width="33.25390625" style="2" customWidth="1"/>
    <col min="2" max="2" width="15.00390625" style="2" hidden="1" customWidth="1"/>
    <col min="3" max="3" width="12.625" style="2" hidden="1" customWidth="1"/>
    <col min="4" max="6" width="12.75390625" style="20" hidden="1" customWidth="1"/>
    <col min="7" max="7" width="11.00390625" style="20" hidden="1" customWidth="1"/>
    <col min="8" max="8" width="10.00390625" style="20" hidden="1" customWidth="1"/>
    <col min="9" max="9" width="9.625" style="20" customWidth="1"/>
    <col min="10" max="10" width="10.00390625" style="20" customWidth="1"/>
    <col min="11" max="12" width="10.625" style="20" customWidth="1"/>
    <col min="13" max="13" width="0" style="2" hidden="1" customWidth="1"/>
    <col min="14" max="14" width="11.375" style="2" customWidth="1"/>
    <col min="15" max="16384" width="9.125" style="2" customWidth="1"/>
  </cols>
  <sheetData>
    <row r="1" spans="1:12" ht="12.75">
      <c r="A1" s="1" t="s">
        <v>64</v>
      </c>
      <c r="B1" s="1"/>
      <c r="C1" s="1"/>
      <c r="D1" s="19"/>
      <c r="E1" s="19"/>
      <c r="F1" s="19"/>
      <c r="G1" s="19"/>
      <c r="H1" s="19"/>
      <c r="I1" s="19"/>
      <c r="J1" s="19"/>
      <c r="K1" s="19"/>
      <c r="L1" s="19"/>
    </row>
    <row r="2" ht="12.75" hidden="1"/>
    <row r="3" ht="13.5" thickBot="1"/>
    <row r="4" spans="1:18" ht="12.75">
      <c r="A4" s="3"/>
      <c r="B4" s="31">
        <v>2000</v>
      </c>
      <c r="C4" s="34">
        <v>2001</v>
      </c>
      <c r="D4" s="34">
        <v>2002</v>
      </c>
      <c r="E4" s="34">
        <v>2003</v>
      </c>
      <c r="F4" s="34">
        <v>2004</v>
      </c>
      <c r="G4" s="34">
        <v>2005</v>
      </c>
      <c r="H4" s="34">
        <v>2006</v>
      </c>
      <c r="I4" s="34">
        <v>2007</v>
      </c>
      <c r="J4" s="34">
        <v>2008</v>
      </c>
      <c r="K4" s="80">
        <v>2009</v>
      </c>
      <c r="L4" s="34">
        <v>2010</v>
      </c>
      <c r="M4" s="174" t="s">
        <v>32</v>
      </c>
      <c r="N4" s="172">
        <v>2011</v>
      </c>
      <c r="O4" s="167" t="s">
        <v>32</v>
      </c>
      <c r="P4" s="48" t="s">
        <v>32</v>
      </c>
      <c r="Q4" s="48" t="s">
        <v>32</v>
      </c>
      <c r="R4" s="48" t="s">
        <v>32</v>
      </c>
    </row>
    <row r="5" spans="1:18" ht="12.75">
      <c r="A5" s="4" t="s">
        <v>0</v>
      </c>
      <c r="B5" s="32" t="s">
        <v>1</v>
      </c>
      <c r="C5" s="35" t="s">
        <v>1</v>
      </c>
      <c r="D5" s="35" t="s">
        <v>1</v>
      </c>
      <c r="E5" s="35" t="s">
        <v>1</v>
      </c>
      <c r="F5" s="35" t="s">
        <v>1</v>
      </c>
      <c r="G5" s="35" t="s">
        <v>1</v>
      </c>
      <c r="H5" s="35" t="s">
        <v>1</v>
      </c>
      <c r="I5" s="35" t="s">
        <v>1</v>
      </c>
      <c r="J5" s="35" t="s">
        <v>1</v>
      </c>
      <c r="K5" s="35" t="s">
        <v>1</v>
      </c>
      <c r="L5" s="35" t="s">
        <v>1</v>
      </c>
      <c r="M5" s="35" t="s">
        <v>49</v>
      </c>
      <c r="N5" s="49" t="s">
        <v>1</v>
      </c>
      <c r="O5" s="168" t="s">
        <v>48</v>
      </c>
      <c r="P5" s="49" t="s">
        <v>44</v>
      </c>
      <c r="Q5" s="49" t="s">
        <v>51</v>
      </c>
      <c r="R5" s="49" t="s">
        <v>60</v>
      </c>
    </row>
    <row r="6" spans="1:18" ht="13.5" thickBot="1">
      <c r="A6" s="5"/>
      <c r="B6" s="33" t="s">
        <v>34</v>
      </c>
      <c r="C6" s="36" t="s">
        <v>34</v>
      </c>
      <c r="D6" s="75" t="s">
        <v>34</v>
      </c>
      <c r="E6" s="33" t="s">
        <v>34</v>
      </c>
      <c r="F6" s="33" t="s">
        <v>39</v>
      </c>
      <c r="G6" s="36" t="s">
        <v>40</v>
      </c>
      <c r="H6" s="36" t="s">
        <v>40</v>
      </c>
      <c r="I6" s="36" t="s">
        <v>40</v>
      </c>
      <c r="J6" s="36" t="s">
        <v>40</v>
      </c>
      <c r="K6" s="36" t="s">
        <v>40</v>
      </c>
      <c r="L6" s="36" t="s">
        <v>40</v>
      </c>
      <c r="M6" s="175" t="s">
        <v>50</v>
      </c>
      <c r="N6" s="173" t="s">
        <v>40</v>
      </c>
      <c r="O6" s="169" t="s">
        <v>42</v>
      </c>
      <c r="P6" s="73" t="s">
        <v>45</v>
      </c>
      <c r="Q6" s="73" t="s">
        <v>52</v>
      </c>
      <c r="R6" s="73" t="s">
        <v>61</v>
      </c>
    </row>
    <row r="7" spans="1:18" ht="13.5" thickBot="1">
      <c r="A7" s="5" t="s">
        <v>2</v>
      </c>
      <c r="B7" s="51">
        <v>1</v>
      </c>
      <c r="C7" s="36">
        <v>2</v>
      </c>
      <c r="D7" s="36">
        <v>3</v>
      </c>
      <c r="E7" s="36">
        <v>4</v>
      </c>
      <c r="F7" s="36"/>
      <c r="G7" s="36">
        <v>1</v>
      </c>
      <c r="H7" s="36">
        <v>1</v>
      </c>
      <c r="I7" s="36">
        <v>1</v>
      </c>
      <c r="J7" s="36">
        <v>2</v>
      </c>
      <c r="K7" s="36">
        <v>3</v>
      </c>
      <c r="L7" s="36">
        <v>4</v>
      </c>
      <c r="M7" s="36" t="s">
        <v>33</v>
      </c>
      <c r="N7" s="173">
        <v>5</v>
      </c>
      <c r="O7" s="50" t="s">
        <v>54</v>
      </c>
      <c r="P7" s="50" t="s">
        <v>55</v>
      </c>
      <c r="Q7" s="50" t="s">
        <v>35</v>
      </c>
      <c r="R7" s="50" t="s">
        <v>36</v>
      </c>
    </row>
    <row r="8" spans="1:18" ht="12.75">
      <c r="A8" s="90" t="s">
        <v>38</v>
      </c>
      <c r="B8" s="89"/>
      <c r="C8" s="35"/>
      <c r="D8" s="35"/>
      <c r="E8" s="78"/>
      <c r="F8" s="101">
        <f>F9+F12</f>
        <v>56620</v>
      </c>
      <c r="G8" s="102">
        <f>G9+G12+G13+G14+G15</f>
        <v>33608</v>
      </c>
      <c r="H8" s="102">
        <f>H9+H12+H13+H14+H15</f>
        <v>42518</v>
      </c>
      <c r="I8" s="102">
        <f>I9+I12+I13+I14+I15</f>
        <v>31645</v>
      </c>
      <c r="J8" s="102">
        <f>J9+J11+J12+J13+J14+J15</f>
        <v>50363</v>
      </c>
      <c r="K8" s="102">
        <f>K9+K11+K12+K13+K14+K15</f>
        <v>1956276</v>
      </c>
      <c r="L8" s="102">
        <f>L9+L11+L12+L13+L14+L15</f>
        <v>1855497.61</v>
      </c>
      <c r="M8" s="176">
        <f>H8/G8*100</f>
        <v>126.51154487026899</v>
      </c>
      <c r="N8" s="197">
        <f>N9+N11+N12+N13+N14+N15</f>
        <v>1517961</v>
      </c>
      <c r="O8" s="103">
        <f>J8/I8*100</f>
        <v>159.14994469900458</v>
      </c>
      <c r="P8" s="103">
        <f>K8/J8*100</f>
        <v>3884.3516073307783</v>
      </c>
      <c r="Q8" s="103">
        <f>L8/K8*100</f>
        <v>94.84845747737027</v>
      </c>
      <c r="R8" s="103">
        <f>N8/L8*100</f>
        <v>81.80883617521879</v>
      </c>
    </row>
    <row r="9" spans="1:18" ht="12.75">
      <c r="A9" s="135" t="s">
        <v>56</v>
      </c>
      <c r="B9" s="136"/>
      <c r="C9" s="137"/>
      <c r="D9" s="137"/>
      <c r="E9" s="138"/>
      <c r="F9" s="139">
        <v>0</v>
      </c>
      <c r="G9" s="156"/>
      <c r="H9" s="156"/>
      <c r="I9" s="156"/>
      <c r="J9" s="156"/>
      <c r="K9" s="156">
        <v>1303055</v>
      </c>
      <c r="L9" s="156">
        <v>1313776</v>
      </c>
      <c r="M9" s="98"/>
      <c r="N9" s="177">
        <v>1210998</v>
      </c>
      <c r="O9" s="104"/>
      <c r="P9" s="104"/>
      <c r="Q9" s="104">
        <f aca="true" t="shared" si="0" ref="Q9:Q46">L9/K9*100</f>
        <v>100.82275882445484</v>
      </c>
      <c r="R9" s="104">
        <f aca="true" t="shared" si="1" ref="R9:R46">N9/L9*100</f>
        <v>92.17690078065058</v>
      </c>
    </row>
    <row r="10" spans="1:18" ht="12.75">
      <c r="A10" s="142" t="s">
        <v>53</v>
      </c>
      <c r="B10" s="157"/>
      <c r="C10" s="158"/>
      <c r="D10" s="158"/>
      <c r="E10" s="159"/>
      <c r="F10" s="160"/>
      <c r="G10" s="152"/>
      <c r="H10" s="152"/>
      <c r="I10" s="152"/>
      <c r="J10" s="152"/>
      <c r="K10" s="152">
        <v>0</v>
      </c>
      <c r="L10" s="152">
        <v>0</v>
      </c>
      <c r="M10" s="194"/>
      <c r="N10" s="195"/>
      <c r="O10" s="113"/>
      <c r="P10" s="113"/>
      <c r="Q10" s="113"/>
      <c r="R10" s="113"/>
    </row>
    <row r="11" spans="1:18" ht="12.75">
      <c r="A11" s="142" t="s">
        <v>57</v>
      </c>
      <c r="B11" s="157"/>
      <c r="C11" s="158"/>
      <c r="D11" s="158"/>
      <c r="E11" s="159"/>
      <c r="F11" s="160"/>
      <c r="G11" s="152"/>
      <c r="H11" s="152"/>
      <c r="I11" s="152"/>
      <c r="J11" s="152"/>
      <c r="K11" s="152">
        <v>609982</v>
      </c>
      <c r="L11" s="152">
        <v>500715</v>
      </c>
      <c r="M11" s="194"/>
      <c r="N11" s="195">
        <v>254077</v>
      </c>
      <c r="O11" s="113"/>
      <c r="P11" s="113"/>
      <c r="Q11" s="113">
        <f t="shared" si="0"/>
        <v>82.0868484643809</v>
      </c>
      <c r="R11" s="113">
        <f t="shared" si="1"/>
        <v>50.742837742028904</v>
      </c>
    </row>
    <row r="12" spans="1:18" ht="12.75">
      <c r="A12" s="149" t="s">
        <v>46</v>
      </c>
      <c r="B12" s="107"/>
      <c r="C12" s="108"/>
      <c r="D12" s="59"/>
      <c r="E12" s="109"/>
      <c r="F12" s="109">
        <v>56620</v>
      </c>
      <c r="G12" s="59">
        <v>28601</v>
      </c>
      <c r="H12" s="59">
        <v>27832</v>
      </c>
      <c r="I12" s="59">
        <v>29423</v>
      </c>
      <c r="J12" s="59">
        <v>42973</v>
      </c>
      <c r="K12" s="59">
        <v>41791</v>
      </c>
      <c r="L12" s="152">
        <f>12085.79+1627.82+521+2617+21891+296</f>
        <v>39038.61</v>
      </c>
      <c r="M12" s="194">
        <f aca="true" t="shared" si="2" ref="M12:M46">H12/G12*100</f>
        <v>97.31128282227894</v>
      </c>
      <c r="N12" s="195">
        <f>6811+10392+16+669+29322+2812</f>
        <v>50022</v>
      </c>
      <c r="O12" s="113">
        <f aca="true" t="shared" si="3" ref="O12:O46">J12/I12*100</f>
        <v>146.05240798015157</v>
      </c>
      <c r="P12" s="113">
        <f aca="true" t="shared" si="4" ref="P12:P46">K12/J12*100</f>
        <v>97.2494356921788</v>
      </c>
      <c r="Q12" s="113">
        <f t="shared" si="0"/>
        <v>93.41391687205379</v>
      </c>
      <c r="R12" s="113">
        <f t="shared" si="1"/>
        <v>128.13468512326642</v>
      </c>
    </row>
    <row r="13" spans="1:18" ht="12.75">
      <c r="A13" s="106" t="s">
        <v>43</v>
      </c>
      <c r="B13" s="107"/>
      <c r="C13" s="108"/>
      <c r="D13" s="59"/>
      <c r="E13" s="109"/>
      <c r="F13" s="109"/>
      <c r="G13" s="59">
        <v>5007</v>
      </c>
      <c r="H13" s="59">
        <v>14686</v>
      </c>
      <c r="I13" s="59">
        <v>2222</v>
      </c>
      <c r="J13" s="59">
        <v>7390</v>
      </c>
      <c r="K13" s="59">
        <v>1448</v>
      </c>
      <c r="L13" s="59">
        <v>1968</v>
      </c>
      <c r="M13" s="194">
        <f t="shared" si="2"/>
        <v>293.3093668863591</v>
      </c>
      <c r="N13" s="195">
        <v>2864</v>
      </c>
      <c r="O13" s="113">
        <f t="shared" si="3"/>
        <v>332.58325832583256</v>
      </c>
      <c r="P13" s="113">
        <f t="shared" si="4"/>
        <v>19.59404600811908</v>
      </c>
      <c r="Q13" s="113">
        <f t="shared" si="0"/>
        <v>135.91160220994476</v>
      </c>
      <c r="R13" s="113">
        <f t="shared" si="1"/>
        <v>145.52845528455285</v>
      </c>
    </row>
    <row r="14" spans="1:18" ht="12.75">
      <c r="A14" s="106" t="s">
        <v>41</v>
      </c>
      <c r="B14" s="107"/>
      <c r="C14" s="108"/>
      <c r="D14" s="59"/>
      <c r="E14" s="109"/>
      <c r="F14" s="109"/>
      <c r="G14" s="59"/>
      <c r="H14" s="59"/>
      <c r="I14" s="59"/>
      <c r="J14" s="59"/>
      <c r="K14" s="59"/>
      <c r="L14" s="59">
        <v>0</v>
      </c>
      <c r="M14" s="59"/>
      <c r="N14" s="195"/>
      <c r="O14" s="113"/>
      <c r="P14" s="113"/>
      <c r="Q14" s="113"/>
      <c r="R14" s="113"/>
    </row>
    <row r="15" spans="1:18" ht="13.5" thickBot="1">
      <c r="A15" s="21" t="s">
        <v>47</v>
      </c>
      <c r="B15" s="91"/>
      <c r="C15" s="92"/>
      <c r="D15" s="26"/>
      <c r="E15" s="22"/>
      <c r="F15" s="22"/>
      <c r="G15" s="26"/>
      <c r="H15" s="26"/>
      <c r="I15" s="26"/>
      <c r="J15" s="26"/>
      <c r="K15" s="26"/>
      <c r="L15" s="26"/>
      <c r="M15" s="26"/>
      <c r="N15" s="196"/>
      <c r="O15" s="105"/>
      <c r="P15" s="105"/>
      <c r="Q15" s="105"/>
      <c r="R15" s="105"/>
    </row>
    <row r="16" spans="1:18" ht="12.75">
      <c r="A16" s="6" t="s">
        <v>3</v>
      </c>
      <c r="B16" s="42">
        <f aca="true" t="shared" si="5" ref="B16:K16">B18+B24</f>
        <v>5234320</v>
      </c>
      <c r="C16" s="38">
        <f t="shared" si="5"/>
        <v>5933803</v>
      </c>
      <c r="D16" s="38">
        <f t="shared" si="5"/>
        <v>5902626</v>
      </c>
      <c r="E16" s="7">
        <f t="shared" si="5"/>
        <v>6417899</v>
      </c>
      <c r="F16" s="7">
        <f t="shared" si="5"/>
        <v>6610832</v>
      </c>
      <c r="G16" s="38">
        <f t="shared" si="5"/>
        <v>6926330</v>
      </c>
      <c r="H16" s="38">
        <f t="shared" si="5"/>
        <v>7234856</v>
      </c>
      <c r="I16" s="38">
        <f t="shared" si="5"/>
        <v>7635423</v>
      </c>
      <c r="J16" s="38">
        <f>J18+J24</f>
        <v>7928825</v>
      </c>
      <c r="K16" s="38">
        <f t="shared" si="5"/>
        <v>7983688</v>
      </c>
      <c r="L16" s="38">
        <f>L18+L24</f>
        <v>7424143</v>
      </c>
      <c r="M16" s="181">
        <f t="shared" si="2"/>
        <v>104.45439359660888</v>
      </c>
      <c r="N16" s="198">
        <f>N18+N24</f>
        <v>7972021</v>
      </c>
      <c r="O16" s="65">
        <f t="shared" si="3"/>
        <v>103.84264237881777</v>
      </c>
      <c r="P16" s="129">
        <f t="shared" si="4"/>
        <v>100.69194363603687</v>
      </c>
      <c r="Q16" s="129">
        <f t="shared" si="0"/>
        <v>92.99139695839817</v>
      </c>
      <c r="R16" s="129">
        <f t="shared" si="1"/>
        <v>107.37968005196021</v>
      </c>
    </row>
    <row r="17" spans="1:18" ht="12.75">
      <c r="A17" s="8" t="s">
        <v>4</v>
      </c>
      <c r="B17" s="30"/>
      <c r="C17" s="53"/>
      <c r="D17" s="18"/>
      <c r="E17" s="9"/>
      <c r="F17" s="9"/>
      <c r="G17" s="18"/>
      <c r="H17" s="18"/>
      <c r="I17" s="18"/>
      <c r="J17" s="18"/>
      <c r="K17" s="18"/>
      <c r="L17" s="18"/>
      <c r="M17" s="18"/>
      <c r="N17" s="182"/>
      <c r="O17" s="66"/>
      <c r="P17" s="130"/>
      <c r="Q17" s="130"/>
      <c r="R17" s="130"/>
    </row>
    <row r="18" spans="1:18" ht="12.75">
      <c r="A18" s="6" t="s">
        <v>5</v>
      </c>
      <c r="B18" s="42">
        <f aca="true" t="shared" si="6" ref="B18:K18">B20+B21+B22</f>
        <v>728738</v>
      </c>
      <c r="C18" s="54">
        <f t="shared" si="6"/>
        <v>746087</v>
      </c>
      <c r="D18" s="38">
        <f t="shared" si="6"/>
        <v>359458</v>
      </c>
      <c r="E18" s="7">
        <f t="shared" si="6"/>
        <v>435982</v>
      </c>
      <c r="F18" s="7">
        <f t="shared" si="6"/>
        <v>325659</v>
      </c>
      <c r="G18" s="38">
        <f t="shared" si="6"/>
        <v>412464</v>
      </c>
      <c r="H18" s="38">
        <f t="shared" si="6"/>
        <v>293798</v>
      </c>
      <c r="I18" s="38">
        <f t="shared" si="6"/>
        <v>335421</v>
      </c>
      <c r="J18" s="38">
        <f>J20+J21+J22</f>
        <v>488791</v>
      </c>
      <c r="K18" s="38">
        <f t="shared" si="6"/>
        <v>250757</v>
      </c>
      <c r="L18" s="38">
        <f>L20+L21+L22</f>
        <v>200359</v>
      </c>
      <c r="M18" s="181">
        <f t="shared" si="2"/>
        <v>71.22997400985298</v>
      </c>
      <c r="N18" s="198">
        <f>N20+N21+N22</f>
        <v>786792</v>
      </c>
      <c r="O18" s="65">
        <f t="shared" si="3"/>
        <v>145.72462666320834</v>
      </c>
      <c r="P18" s="129">
        <f t="shared" si="4"/>
        <v>51.30147650018105</v>
      </c>
      <c r="Q18" s="129">
        <f t="shared" si="0"/>
        <v>79.90165778024144</v>
      </c>
      <c r="R18" s="129">
        <f t="shared" si="1"/>
        <v>392.6911194406041</v>
      </c>
    </row>
    <row r="19" spans="1:18" ht="12.75">
      <c r="A19" s="8" t="s">
        <v>6</v>
      </c>
      <c r="B19" s="30"/>
      <c r="C19" s="55"/>
      <c r="D19" s="18"/>
      <c r="E19" s="9"/>
      <c r="F19" s="9"/>
      <c r="G19" s="18"/>
      <c r="H19" s="18"/>
      <c r="I19" s="18"/>
      <c r="J19" s="18"/>
      <c r="K19" s="18"/>
      <c r="L19" s="18"/>
      <c r="M19" s="18"/>
      <c r="N19" s="182"/>
      <c r="O19" s="66"/>
      <c r="P19" s="130"/>
      <c r="Q19" s="130"/>
      <c r="R19" s="130"/>
    </row>
    <row r="20" spans="1:18" ht="12.75">
      <c r="A20" s="8" t="s">
        <v>7</v>
      </c>
      <c r="B20" s="30">
        <v>0</v>
      </c>
      <c r="C20" s="53">
        <v>0</v>
      </c>
      <c r="D20" s="18">
        <v>2176</v>
      </c>
      <c r="E20" s="9">
        <v>1691</v>
      </c>
      <c r="F20" s="82">
        <v>3798</v>
      </c>
      <c r="G20" s="116">
        <v>0</v>
      </c>
      <c r="H20" s="127">
        <v>128</v>
      </c>
      <c r="I20" s="127">
        <v>885</v>
      </c>
      <c r="J20" s="18">
        <v>15597</v>
      </c>
      <c r="K20" s="18">
        <v>78</v>
      </c>
      <c r="L20" s="18"/>
      <c r="M20" s="64"/>
      <c r="N20" s="182">
        <v>477045</v>
      </c>
      <c r="O20" s="66">
        <f t="shared" si="3"/>
        <v>1762.3728813559321</v>
      </c>
      <c r="P20" s="130">
        <f t="shared" si="4"/>
        <v>0.5000961723408348</v>
      </c>
      <c r="Q20" s="130">
        <f t="shared" si="0"/>
        <v>0</v>
      </c>
      <c r="R20" s="130"/>
    </row>
    <row r="21" spans="1:18" ht="12.75">
      <c r="A21" s="8" t="s">
        <v>8</v>
      </c>
      <c r="B21" s="30">
        <v>722582</v>
      </c>
      <c r="C21" s="53">
        <v>735637</v>
      </c>
      <c r="D21" s="18">
        <v>357239</v>
      </c>
      <c r="E21" s="9">
        <v>408701</v>
      </c>
      <c r="F21" s="82">
        <f>321861-40341</f>
        <v>281520</v>
      </c>
      <c r="G21" s="82">
        <v>213709</v>
      </c>
      <c r="H21" s="9">
        <v>151516</v>
      </c>
      <c r="I21" s="9">
        <v>187997</v>
      </c>
      <c r="J21" s="9">
        <v>471508</v>
      </c>
      <c r="K21" s="9">
        <v>250679</v>
      </c>
      <c r="L21" s="18">
        <v>200359</v>
      </c>
      <c r="M21" s="64">
        <f t="shared" si="2"/>
        <v>70.89827756435152</v>
      </c>
      <c r="N21" s="182">
        <v>309747</v>
      </c>
      <c r="O21" s="66">
        <f t="shared" si="3"/>
        <v>250.80612988505138</v>
      </c>
      <c r="P21" s="130">
        <f t="shared" si="4"/>
        <v>53.16537577305157</v>
      </c>
      <c r="Q21" s="130">
        <f t="shared" si="0"/>
        <v>79.92651957284018</v>
      </c>
      <c r="R21" s="130">
        <f t="shared" si="1"/>
        <v>154.59600017967747</v>
      </c>
    </row>
    <row r="22" spans="1:18" ht="12.75">
      <c r="A22" s="12" t="s">
        <v>9</v>
      </c>
      <c r="B22" s="43">
        <v>6156</v>
      </c>
      <c r="C22" s="56">
        <v>10450</v>
      </c>
      <c r="D22" s="39">
        <v>43</v>
      </c>
      <c r="E22" s="13">
        <v>25590</v>
      </c>
      <c r="F22" s="83">
        <v>40341</v>
      </c>
      <c r="G22" s="117">
        <v>198755</v>
      </c>
      <c r="H22" s="128">
        <v>142154</v>
      </c>
      <c r="I22" s="128">
        <v>146539</v>
      </c>
      <c r="J22" s="39">
        <v>1686</v>
      </c>
      <c r="K22" s="39">
        <v>0</v>
      </c>
      <c r="L22" s="39">
        <v>0</v>
      </c>
      <c r="M22" s="39">
        <f t="shared" si="2"/>
        <v>71.52222585595331</v>
      </c>
      <c r="N22" s="183">
        <v>0</v>
      </c>
      <c r="O22" s="72">
        <f t="shared" si="3"/>
        <v>1.150546953370775</v>
      </c>
      <c r="P22" s="134">
        <f t="shared" si="4"/>
        <v>0</v>
      </c>
      <c r="Q22" s="134"/>
      <c r="R22" s="134"/>
    </row>
    <row r="23" spans="1:18" ht="1.5" customHeight="1">
      <c r="A23" s="4"/>
      <c r="B23" s="24"/>
      <c r="C23" s="25"/>
      <c r="D23" s="37"/>
      <c r="E23" s="11"/>
      <c r="F23" s="11"/>
      <c r="G23" s="37"/>
      <c r="H23" s="37"/>
      <c r="I23" s="37"/>
      <c r="J23" s="37"/>
      <c r="K23" s="37"/>
      <c r="L23" s="37"/>
      <c r="M23" s="37"/>
      <c r="N23" s="184"/>
      <c r="O23" s="70" t="e">
        <f t="shared" si="3"/>
        <v>#DIV/0!</v>
      </c>
      <c r="P23" s="126" t="e">
        <f t="shared" si="4"/>
        <v>#DIV/0!</v>
      </c>
      <c r="Q23" s="126" t="e">
        <f t="shared" si="0"/>
        <v>#DIV/0!</v>
      </c>
      <c r="R23" s="126" t="e">
        <f t="shared" si="1"/>
        <v>#DIV/0!</v>
      </c>
    </row>
    <row r="24" spans="1:18" ht="12.75">
      <c r="A24" s="6" t="s">
        <v>10</v>
      </c>
      <c r="B24" s="42">
        <f aca="true" t="shared" si="7" ref="B24:K24">B26+B29+B30+B31+B32</f>
        <v>4505582</v>
      </c>
      <c r="C24" s="38">
        <f t="shared" si="7"/>
        <v>5187716</v>
      </c>
      <c r="D24" s="38">
        <f t="shared" si="7"/>
        <v>5543168</v>
      </c>
      <c r="E24" s="7">
        <f t="shared" si="7"/>
        <v>5981917</v>
      </c>
      <c r="F24" s="7">
        <f t="shared" si="7"/>
        <v>6285173</v>
      </c>
      <c r="G24" s="38">
        <f t="shared" si="7"/>
        <v>6513866</v>
      </c>
      <c r="H24" s="38">
        <f t="shared" si="7"/>
        <v>6941058</v>
      </c>
      <c r="I24" s="38">
        <f t="shared" si="7"/>
        <v>7300002</v>
      </c>
      <c r="J24" s="38">
        <f>J26+J29+J30+J31+J32</f>
        <v>7440034</v>
      </c>
      <c r="K24" s="38">
        <f t="shared" si="7"/>
        <v>7732931</v>
      </c>
      <c r="L24" s="38">
        <f>L26+L29+L30+L31+L32</f>
        <v>7223784</v>
      </c>
      <c r="M24" s="181">
        <f t="shared" si="2"/>
        <v>106.5581944731439</v>
      </c>
      <c r="N24" s="198">
        <f>N26+N29+N30+N31+N32</f>
        <v>7185229</v>
      </c>
      <c r="O24" s="65">
        <f t="shared" si="3"/>
        <v>101.9182460497956</v>
      </c>
      <c r="P24" s="129">
        <f t="shared" si="4"/>
        <v>103.93676964379463</v>
      </c>
      <c r="Q24" s="129">
        <f t="shared" si="0"/>
        <v>93.41586004064952</v>
      </c>
      <c r="R24" s="129">
        <f t="shared" si="1"/>
        <v>99.46627695401745</v>
      </c>
    </row>
    <row r="25" spans="1:18" ht="12.75">
      <c r="A25" s="8" t="s">
        <v>6</v>
      </c>
      <c r="B25" s="30"/>
      <c r="C25" s="53"/>
      <c r="D25" s="18"/>
      <c r="E25" s="9"/>
      <c r="F25" s="9"/>
      <c r="G25" s="18"/>
      <c r="H25" s="18"/>
      <c r="I25" s="18"/>
      <c r="J25" s="18"/>
      <c r="K25" s="18"/>
      <c r="L25" s="18"/>
      <c r="M25" s="64"/>
      <c r="N25" s="182"/>
      <c r="O25" s="66"/>
      <c r="P25" s="130"/>
      <c r="Q25" s="130"/>
      <c r="R25" s="130"/>
    </row>
    <row r="26" spans="1:18" ht="12.75">
      <c r="A26" s="14" t="s">
        <v>11</v>
      </c>
      <c r="B26" s="44">
        <f aca="true" t="shared" si="8" ref="B26:K26">B27+B28</f>
        <v>2510333</v>
      </c>
      <c r="C26" s="57">
        <f t="shared" si="8"/>
        <v>2851952</v>
      </c>
      <c r="D26" s="40">
        <f t="shared" si="8"/>
        <v>3164076</v>
      </c>
      <c r="E26" s="15">
        <f t="shared" si="8"/>
        <v>3471389</v>
      </c>
      <c r="F26" s="15">
        <f t="shared" si="8"/>
        <v>3690361</v>
      </c>
      <c r="G26" s="40">
        <f t="shared" si="8"/>
        <v>3874700</v>
      </c>
      <c r="H26" s="40">
        <f t="shared" si="8"/>
        <v>4119663</v>
      </c>
      <c r="I26" s="40">
        <f t="shared" si="8"/>
        <v>4412239</v>
      </c>
      <c r="J26" s="40">
        <f>J27+J28</f>
        <v>4512127</v>
      </c>
      <c r="K26" s="40">
        <f t="shared" si="8"/>
        <v>4722672</v>
      </c>
      <c r="L26" s="40">
        <f>L27+L28</f>
        <v>4585218</v>
      </c>
      <c r="M26" s="185">
        <f t="shared" si="2"/>
        <v>106.3221152605363</v>
      </c>
      <c r="N26" s="199">
        <f>N27+N28</f>
        <v>4354480</v>
      </c>
      <c r="O26" s="67">
        <f t="shared" si="3"/>
        <v>102.26388461731108</v>
      </c>
      <c r="P26" s="131">
        <f t="shared" si="4"/>
        <v>104.66620287948456</v>
      </c>
      <c r="Q26" s="131">
        <f t="shared" si="0"/>
        <v>97.0894866296029</v>
      </c>
      <c r="R26" s="131">
        <f t="shared" si="1"/>
        <v>94.96778561019346</v>
      </c>
    </row>
    <row r="27" spans="1:18" ht="12.75">
      <c r="A27" s="8" t="s">
        <v>12</v>
      </c>
      <c r="B27" s="30">
        <v>2502853</v>
      </c>
      <c r="C27" s="53">
        <v>2844128</v>
      </c>
      <c r="D27" s="18">
        <v>3155450</v>
      </c>
      <c r="E27" s="9">
        <v>3462828</v>
      </c>
      <c r="F27" s="84">
        <v>3679400</v>
      </c>
      <c r="G27" s="84">
        <v>3864076</v>
      </c>
      <c r="H27" s="9">
        <v>4108018</v>
      </c>
      <c r="I27" s="9">
        <v>4396591</v>
      </c>
      <c r="J27" s="9">
        <v>4498551</v>
      </c>
      <c r="K27" s="9">
        <v>4709221</v>
      </c>
      <c r="L27" s="18">
        <v>4571028</v>
      </c>
      <c r="M27" s="64">
        <f t="shared" si="2"/>
        <v>106.31307458755987</v>
      </c>
      <c r="N27" s="182">
        <v>4332772</v>
      </c>
      <c r="O27" s="66">
        <f t="shared" si="3"/>
        <v>102.31906947905776</v>
      </c>
      <c r="P27" s="130">
        <f t="shared" si="4"/>
        <v>104.68306350200321</v>
      </c>
      <c r="Q27" s="130">
        <f t="shared" si="0"/>
        <v>97.06548068141207</v>
      </c>
      <c r="R27" s="130">
        <f t="shared" si="1"/>
        <v>94.78769327162293</v>
      </c>
    </row>
    <row r="28" spans="1:18" ht="12.75">
      <c r="A28" s="23" t="s">
        <v>13</v>
      </c>
      <c r="B28" s="52">
        <v>7480</v>
      </c>
      <c r="C28" s="63">
        <v>7824</v>
      </c>
      <c r="D28" s="18">
        <v>8626</v>
      </c>
      <c r="E28" s="9">
        <v>8561</v>
      </c>
      <c r="F28" s="84">
        <v>10961</v>
      </c>
      <c r="G28" s="84">
        <v>10624</v>
      </c>
      <c r="H28" s="9">
        <v>11645</v>
      </c>
      <c r="I28" s="9">
        <v>15648</v>
      </c>
      <c r="J28" s="9">
        <v>13576</v>
      </c>
      <c r="K28" s="9">
        <v>13451</v>
      </c>
      <c r="L28" s="18">
        <v>14190</v>
      </c>
      <c r="M28" s="64">
        <f t="shared" si="2"/>
        <v>109.61031626506023</v>
      </c>
      <c r="N28" s="182">
        <v>21708</v>
      </c>
      <c r="O28" s="66">
        <f t="shared" si="3"/>
        <v>86.75869120654397</v>
      </c>
      <c r="P28" s="130">
        <f t="shared" si="4"/>
        <v>99.0792575132587</v>
      </c>
      <c r="Q28" s="130">
        <f t="shared" si="0"/>
        <v>105.49401531484648</v>
      </c>
      <c r="R28" s="130">
        <f t="shared" si="1"/>
        <v>152.98097251585622</v>
      </c>
    </row>
    <row r="29" spans="1:19" ht="12.75">
      <c r="A29" s="16" t="s">
        <v>14</v>
      </c>
      <c r="B29" s="45">
        <v>875305</v>
      </c>
      <c r="C29" s="58">
        <v>996239</v>
      </c>
      <c r="D29" s="41">
        <v>1105224</v>
      </c>
      <c r="E29" s="17">
        <v>1213802</v>
      </c>
      <c r="F29" s="85">
        <v>1288047</v>
      </c>
      <c r="G29" s="85">
        <v>1354119</v>
      </c>
      <c r="H29" s="15">
        <v>1439575</v>
      </c>
      <c r="I29" s="15">
        <v>1542743</v>
      </c>
      <c r="J29" s="17">
        <v>1579241</v>
      </c>
      <c r="K29" s="17">
        <v>1597429</v>
      </c>
      <c r="L29" s="41">
        <v>1552529</v>
      </c>
      <c r="M29" s="186">
        <f t="shared" si="2"/>
        <v>106.31081906390799</v>
      </c>
      <c r="N29" s="200">
        <v>1474976</v>
      </c>
      <c r="O29" s="68">
        <f t="shared" si="3"/>
        <v>102.3657861354743</v>
      </c>
      <c r="P29" s="132">
        <f t="shared" si="4"/>
        <v>101.15169249025323</v>
      </c>
      <c r="Q29" s="132">
        <f t="shared" si="0"/>
        <v>97.18923344949917</v>
      </c>
      <c r="R29" s="132">
        <f t="shared" si="1"/>
        <v>95.00473099053222</v>
      </c>
      <c r="S29" s="20"/>
    </row>
    <row r="30" spans="1:18" ht="12.75">
      <c r="A30" s="16" t="s">
        <v>15</v>
      </c>
      <c r="B30" s="45">
        <v>50056</v>
      </c>
      <c r="C30" s="58">
        <v>56906</v>
      </c>
      <c r="D30" s="41">
        <v>63111</v>
      </c>
      <c r="E30" s="17">
        <v>69272</v>
      </c>
      <c r="F30" s="85">
        <v>73589</v>
      </c>
      <c r="G30" s="85">
        <v>77283</v>
      </c>
      <c r="H30" s="15">
        <v>82162</v>
      </c>
      <c r="I30" s="15">
        <v>87973</v>
      </c>
      <c r="J30" s="17">
        <v>89996</v>
      </c>
      <c r="K30" s="17">
        <v>94190</v>
      </c>
      <c r="L30" s="41">
        <v>91447</v>
      </c>
      <c r="M30" s="186">
        <f t="shared" si="2"/>
        <v>106.31316072098652</v>
      </c>
      <c r="N30" s="200">
        <v>43328</v>
      </c>
      <c r="O30" s="68">
        <f t="shared" si="3"/>
        <v>102.29956918600026</v>
      </c>
      <c r="P30" s="132">
        <f t="shared" si="4"/>
        <v>104.66020712031646</v>
      </c>
      <c r="Q30" s="132">
        <f t="shared" si="0"/>
        <v>97.08780125278692</v>
      </c>
      <c r="R30" s="132">
        <f t="shared" si="1"/>
        <v>47.38044987807145</v>
      </c>
    </row>
    <row r="31" spans="1:18" ht="12.75">
      <c r="A31" s="14" t="s">
        <v>16</v>
      </c>
      <c r="B31" s="44">
        <v>0</v>
      </c>
      <c r="C31" s="57">
        <v>0</v>
      </c>
      <c r="D31" s="41">
        <f>SUM(MF!B49)</f>
        <v>0</v>
      </c>
      <c r="E31" s="17">
        <v>0</v>
      </c>
      <c r="F31" s="17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185"/>
      <c r="N31" s="199">
        <v>0</v>
      </c>
      <c r="O31" s="68"/>
      <c r="P31" s="132"/>
      <c r="Q31" s="132"/>
      <c r="R31" s="132"/>
    </row>
    <row r="32" spans="1:18" ht="12.75">
      <c r="A32" s="14" t="s">
        <v>17</v>
      </c>
      <c r="B32" s="44">
        <f aca="true" t="shared" si="9" ref="B32:K32">B34+B35+B36+B38+B42</f>
        <v>1069888</v>
      </c>
      <c r="C32" s="57">
        <f t="shared" si="9"/>
        <v>1282619</v>
      </c>
      <c r="D32" s="40">
        <f t="shared" si="9"/>
        <v>1210757</v>
      </c>
      <c r="E32" s="15">
        <f t="shared" si="9"/>
        <v>1227454</v>
      </c>
      <c r="F32" s="15">
        <f t="shared" si="9"/>
        <v>1233176</v>
      </c>
      <c r="G32" s="40">
        <f t="shared" si="9"/>
        <v>1207764</v>
      </c>
      <c r="H32" s="40">
        <f t="shared" si="9"/>
        <v>1299658</v>
      </c>
      <c r="I32" s="40">
        <f t="shared" si="9"/>
        <v>1257047</v>
      </c>
      <c r="J32" s="40">
        <f>J34+J35+J36+J38+J42</f>
        <v>1258670</v>
      </c>
      <c r="K32" s="40">
        <f t="shared" si="9"/>
        <v>1318640</v>
      </c>
      <c r="L32" s="40">
        <f>L34+L35+L36+L38+L42</f>
        <v>994590</v>
      </c>
      <c r="M32" s="185">
        <f t="shared" si="2"/>
        <v>107.60860565474712</v>
      </c>
      <c r="N32" s="199">
        <f>N34+N35+N36+N38+N42</f>
        <v>1312445</v>
      </c>
      <c r="O32" s="67">
        <f t="shared" si="3"/>
        <v>100.12911211752625</v>
      </c>
      <c r="P32" s="131">
        <f t="shared" si="4"/>
        <v>104.76455305997601</v>
      </c>
      <c r="Q32" s="131">
        <f t="shared" si="0"/>
        <v>75.42543833040102</v>
      </c>
      <c r="R32" s="131">
        <f t="shared" si="1"/>
        <v>131.95839491649826</v>
      </c>
    </row>
    <row r="33" spans="1:18" ht="12.75">
      <c r="A33" s="8" t="s">
        <v>18</v>
      </c>
      <c r="B33" s="30"/>
      <c r="C33" s="53"/>
      <c r="D33" s="18"/>
      <c r="E33" s="9"/>
      <c r="F33" s="9"/>
      <c r="G33" s="18"/>
      <c r="H33" s="18"/>
      <c r="I33" s="18"/>
      <c r="J33" s="18"/>
      <c r="K33" s="18"/>
      <c r="L33" s="18"/>
      <c r="M33" s="64"/>
      <c r="N33" s="182"/>
      <c r="O33" s="66"/>
      <c r="P33" s="130"/>
      <c r="Q33" s="130"/>
      <c r="R33" s="130"/>
    </row>
    <row r="34" spans="1:18" ht="12.75">
      <c r="A34" s="8" t="s">
        <v>19</v>
      </c>
      <c r="B34" s="30">
        <v>267604</v>
      </c>
      <c r="C34" s="27">
        <v>384662</v>
      </c>
      <c r="D34" s="9">
        <v>223442</v>
      </c>
      <c r="E34" s="9">
        <v>217179</v>
      </c>
      <c r="F34" s="84">
        <v>177366</v>
      </c>
      <c r="G34" s="84">
        <v>188003</v>
      </c>
      <c r="H34" s="9">
        <v>246921</v>
      </c>
      <c r="I34" s="9">
        <v>226119</v>
      </c>
      <c r="J34" s="9">
        <v>219724</v>
      </c>
      <c r="K34" s="9">
        <v>247776</v>
      </c>
      <c r="L34" s="18">
        <v>137320</v>
      </c>
      <c r="M34" s="64">
        <f t="shared" si="2"/>
        <v>131.3388616139104</v>
      </c>
      <c r="N34" s="182">
        <v>125720</v>
      </c>
      <c r="O34" s="66">
        <f t="shared" si="3"/>
        <v>97.17184314453894</v>
      </c>
      <c r="P34" s="130">
        <f t="shared" si="4"/>
        <v>112.76692577961443</v>
      </c>
      <c r="Q34" s="130">
        <f t="shared" si="0"/>
        <v>55.421025442335015</v>
      </c>
      <c r="R34" s="130">
        <f t="shared" si="1"/>
        <v>91.55257792018642</v>
      </c>
    </row>
    <row r="35" spans="1:18" ht="12.75">
      <c r="A35" s="8" t="s">
        <v>20</v>
      </c>
      <c r="B35" s="30">
        <v>105188</v>
      </c>
      <c r="C35" s="27">
        <v>114699</v>
      </c>
      <c r="D35" s="9">
        <v>123111</v>
      </c>
      <c r="E35" s="9">
        <v>128436</v>
      </c>
      <c r="F35" s="84">
        <v>132871</v>
      </c>
      <c r="G35" s="84">
        <v>142017</v>
      </c>
      <c r="H35" s="9">
        <v>162652</v>
      </c>
      <c r="I35" s="9">
        <v>162257</v>
      </c>
      <c r="J35" s="9">
        <v>191093</v>
      </c>
      <c r="K35" s="9">
        <v>206910</v>
      </c>
      <c r="L35" s="18">
        <v>198307</v>
      </c>
      <c r="M35" s="64">
        <f t="shared" si="2"/>
        <v>114.52995063971214</v>
      </c>
      <c r="N35" s="182">
        <v>210969</v>
      </c>
      <c r="O35" s="66">
        <f t="shared" si="3"/>
        <v>117.77180645519145</v>
      </c>
      <c r="P35" s="130">
        <f t="shared" si="4"/>
        <v>108.27712161094337</v>
      </c>
      <c r="Q35" s="130">
        <f t="shared" si="0"/>
        <v>95.84215359334976</v>
      </c>
      <c r="R35" s="130">
        <f t="shared" si="1"/>
        <v>106.38504944353957</v>
      </c>
    </row>
    <row r="36" spans="1:18" ht="12.75">
      <c r="A36" s="8" t="s">
        <v>21</v>
      </c>
      <c r="B36" s="30">
        <v>532886</v>
      </c>
      <c r="C36" s="27">
        <v>547240</v>
      </c>
      <c r="D36" s="9">
        <v>563055</v>
      </c>
      <c r="E36" s="9">
        <v>600494</v>
      </c>
      <c r="F36" s="84">
        <v>619953</v>
      </c>
      <c r="G36" s="84">
        <v>646985</v>
      </c>
      <c r="H36" s="9">
        <v>651747</v>
      </c>
      <c r="I36" s="9">
        <v>665245</v>
      </c>
      <c r="J36" s="9">
        <v>661792</v>
      </c>
      <c r="K36" s="9">
        <v>656933</v>
      </c>
      <c r="L36" s="18">
        <v>484177</v>
      </c>
      <c r="M36" s="64">
        <f t="shared" si="2"/>
        <v>100.7360294288121</v>
      </c>
      <c r="N36" s="182">
        <v>763202</v>
      </c>
      <c r="O36" s="66">
        <f t="shared" si="3"/>
        <v>99.4809431111846</v>
      </c>
      <c r="P36" s="130">
        <f t="shared" si="4"/>
        <v>99.26578139354963</v>
      </c>
      <c r="Q36" s="130">
        <f t="shared" si="0"/>
        <v>73.70264547526155</v>
      </c>
      <c r="R36" s="130">
        <f t="shared" si="1"/>
        <v>157.62871842322127</v>
      </c>
    </row>
    <row r="37" spans="1:18" ht="12.75" hidden="1">
      <c r="A37" s="8" t="s">
        <v>22</v>
      </c>
      <c r="B37" s="30">
        <v>126424</v>
      </c>
      <c r="C37" s="27">
        <v>128964</v>
      </c>
      <c r="D37" s="9">
        <v>125056</v>
      </c>
      <c r="E37" s="9">
        <v>117098</v>
      </c>
      <c r="F37" s="84">
        <v>113651</v>
      </c>
      <c r="G37" s="9"/>
      <c r="H37" s="9"/>
      <c r="I37" s="9"/>
      <c r="J37" s="9"/>
      <c r="K37" s="9"/>
      <c r="L37" s="18"/>
      <c r="M37" s="64" t="e">
        <f t="shared" si="2"/>
        <v>#DIV/0!</v>
      </c>
      <c r="N37" s="182"/>
      <c r="O37" s="66" t="e">
        <f t="shared" si="3"/>
        <v>#DIV/0!</v>
      </c>
      <c r="P37" s="130" t="e">
        <f t="shared" si="4"/>
        <v>#DIV/0!</v>
      </c>
      <c r="Q37" s="130" t="e">
        <f t="shared" si="0"/>
        <v>#DIV/0!</v>
      </c>
      <c r="R37" s="130" t="e">
        <f t="shared" si="1"/>
        <v>#DIV/0!</v>
      </c>
    </row>
    <row r="38" spans="1:18" ht="12.75">
      <c r="A38" s="8" t="s">
        <v>23</v>
      </c>
      <c r="B38" s="30">
        <v>158720</v>
      </c>
      <c r="C38" s="27">
        <v>208509</v>
      </c>
      <c r="D38" s="9">
        <v>262878</v>
      </c>
      <c r="E38" s="9">
        <v>245724</v>
      </c>
      <c r="F38" s="84">
        <v>224193</v>
      </c>
      <c r="G38" s="84">
        <v>175785</v>
      </c>
      <c r="H38" s="9">
        <v>192830</v>
      </c>
      <c r="I38" s="9">
        <v>160690</v>
      </c>
      <c r="J38" s="9">
        <v>172178</v>
      </c>
      <c r="K38" s="9">
        <v>183254</v>
      </c>
      <c r="L38" s="18">
        <v>150689</v>
      </c>
      <c r="M38" s="64">
        <f t="shared" si="2"/>
        <v>109.69650425235373</v>
      </c>
      <c r="N38" s="182">
        <v>181356</v>
      </c>
      <c r="O38" s="66">
        <f t="shared" si="3"/>
        <v>107.1491692077914</v>
      </c>
      <c r="P38" s="130">
        <f t="shared" si="4"/>
        <v>106.43287760341042</v>
      </c>
      <c r="Q38" s="130">
        <f t="shared" si="0"/>
        <v>82.22958298318181</v>
      </c>
      <c r="R38" s="130">
        <f t="shared" si="1"/>
        <v>120.35118688159056</v>
      </c>
    </row>
    <row r="39" spans="1:18" ht="12.75" hidden="1">
      <c r="A39" s="8" t="s">
        <v>24</v>
      </c>
      <c r="B39" s="30">
        <v>94375</v>
      </c>
      <c r="C39" s="27">
        <v>114392</v>
      </c>
      <c r="D39" s="9">
        <v>180285</v>
      </c>
      <c r="E39" s="9">
        <v>195451</v>
      </c>
      <c r="F39" s="84">
        <v>164485</v>
      </c>
      <c r="G39" s="9"/>
      <c r="H39" s="9"/>
      <c r="I39" s="9"/>
      <c r="J39" s="9"/>
      <c r="K39" s="9"/>
      <c r="L39" s="18"/>
      <c r="M39" s="64" t="e">
        <f t="shared" si="2"/>
        <v>#DIV/0!</v>
      </c>
      <c r="N39" s="182"/>
      <c r="O39" s="66" t="e">
        <f t="shared" si="3"/>
        <v>#DIV/0!</v>
      </c>
      <c r="P39" s="130" t="e">
        <f t="shared" si="4"/>
        <v>#DIV/0!</v>
      </c>
      <c r="Q39" s="130" t="e">
        <f t="shared" si="0"/>
        <v>#DIV/0!</v>
      </c>
      <c r="R39" s="130" t="e">
        <f t="shared" si="1"/>
        <v>#DIV/0!</v>
      </c>
    </row>
    <row r="40" spans="1:18" ht="12.75" hidden="1">
      <c r="A40" s="8" t="s">
        <v>25</v>
      </c>
      <c r="B40" s="30">
        <v>33214</v>
      </c>
      <c r="C40" s="27">
        <v>62637</v>
      </c>
      <c r="D40" s="9">
        <v>45019</v>
      </c>
      <c r="E40" s="9">
        <v>18069</v>
      </c>
      <c r="F40" s="84">
        <v>8373</v>
      </c>
      <c r="G40" s="9"/>
      <c r="H40" s="9"/>
      <c r="I40" s="9"/>
      <c r="J40" s="9"/>
      <c r="K40" s="9"/>
      <c r="L40" s="18"/>
      <c r="M40" s="64" t="e">
        <f t="shared" si="2"/>
        <v>#DIV/0!</v>
      </c>
      <c r="N40" s="182"/>
      <c r="O40" s="66" t="e">
        <f t="shared" si="3"/>
        <v>#DIV/0!</v>
      </c>
      <c r="P40" s="130" t="e">
        <f t="shared" si="4"/>
        <v>#DIV/0!</v>
      </c>
      <c r="Q40" s="130" t="e">
        <f t="shared" si="0"/>
        <v>#DIV/0!</v>
      </c>
      <c r="R40" s="130" t="e">
        <f t="shared" si="1"/>
        <v>#DIV/0!</v>
      </c>
    </row>
    <row r="41" spans="1:18" ht="12.75" hidden="1">
      <c r="A41" s="8" t="s">
        <v>26</v>
      </c>
      <c r="B41" s="30">
        <v>22346</v>
      </c>
      <c r="C41" s="27">
        <v>24488</v>
      </c>
      <c r="D41" s="9">
        <v>25924</v>
      </c>
      <c r="E41" s="9">
        <v>26696</v>
      </c>
      <c r="F41" s="84">
        <v>27129</v>
      </c>
      <c r="G41" s="9"/>
      <c r="H41" s="9"/>
      <c r="I41" s="9"/>
      <c r="J41" s="9"/>
      <c r="K41" s="9"/>
      <c r="L41" s="18"/>
      <c r="M41" s="64" t="e">
        <f t="shared" si="2"/>
        <v>#DIV/0!</v>
      </c>
      <c r="N41" s="182"/>
      <c r="O41" s="66" t="e">
        <f t="shared" si="3"/>
        <v>#DIV/0!</v>
      </c>
      <c r="P41" s="130" t="e">
        <f t="shared" si="4"/>
        <v>#DIV/0!</v>
      </c>
      <c r="Q41" s="130" t="e">
        <f t="shared" si="0"/>
        <v>#DIV/0!</v>
      </c>
      <c r="R41" s="130" t="e">
        <f t="shared" si="1"/>
        <v>#DIV/0!</v>
      </c>
    </row>
    <row r="42" spans="1:18" ht="13.5" thickBot="1">
      <c r="A42" s="21" t="s">
        <v>27</v>
      </c>
      <c r="B42" s="46">
        <v>5490</v>
      </c>
      <c r="C42" s="59">
        <v>27509</v>
      </c>
      <c r="D42" s="22">
        <v>38271</v>
      </c>
      <c r="E42" s="22">
        <v>35621</v>
      </c>
      <c r="F42" s="22">
        <v>78793</v>
      </c>
      <c r="G42" s="22">
        <v>54974</v>
      </c>
      <c r="H42" s="22">
        <v>45508</v>
      </c>
      <c r="I42" s="22">
        <v>42736</v>
      </c>
      <c r="J42" s="22">
        <v>13883</v>
      </c>
      <c r="K42" s="22">
        <v>23767</v>
      </c>
      <c r="L42" s="26">
        <v>24097</v>
      </c>
      <c r="M42" s="188">
        <f t="shared" si="2"/>
        <v>82.78095099501583</v>
      </c>
      <c r="N42" s="196">
        <v>31198</v>
      </c>
      <c r="O42" s="69">
        <f t="shared" si="3"/>
        <v>32.48549232497192</v>
      </c>
      <c r="P42" s="105">
        <f t="shared" si="4"/>
        <v>171.1949866743499</v>
      </c>
      <c r="Q42" s="105">
        <f t="shared" si="0"/>
        <v>101.38847982496739</v>
      </c>
      <c r="R42" s="105">
        <f t="shared" si="1"/>
        <v>129.4683985558368</v>
      </c>
    </row>
    <row r="43" spans="1:18" ht="12.75">
      <c r="A43" s="8" t="s">
        <v>28</v>
      </c>
      <c r="B43" s="30">
        <v>14260</v>
      </c>
      <c r="C43" s="60">
        <v>15084</v>
      </c>
      <c r="D43" s="9">
        <v>15649</v>
      </c>
      <c r="E43" s="9">
        <v>15668</v>
      </c>
      <c r="F43" s="9">
        <v>15600</v>
      </c>
      <c r="G43" s="118">
        <v>15474</v>
      </c>
      <c r="H43" s="118">
        <v>15619</v>
      </c>
      <c r="I43" s="118">
        <v>15629</v>
      </c>
      <c r="J43" s="9">
        <v>15379</v>
      </c>
      <c r="K43" s="9">
        <v>15330</v>
      </c>
      <c r="L43" s="18">
        <v>15040</v>
      </c>
      <c r="M43" s="64">
        <f t="shared" si="2"/>
        <v>100.93705570634613</v>
      </c>
      <c r="N43" s="182">
        <v>14677</v>
      </c>
      <c r="O43" s="66">
        <f t="shared" si="3"/>
        <v>98.40040949516924</v>
      </c>
      <c r="P43" s="130">
        <f t="shared" si="4"/>
        <v>99.68138370505234</v>
      </c>
      <c r="Q43" s="130">
        <f t="shared" si="0"/>
        <v>98.10828440965426</v>
      </c>
      <c r="R43" s="130">
        <f t="shared" si="1"/>
        <v>97.58643617021276</v>
      </c>
    </row>
    <row r="44" spans="1:18" ht="12.75">
      <c r="A44" s="4" t="s">
        <v>30</v>
      </c>
      <c r="B44" s="28">
        <f aca="true" t="shared" si="10" ref="B44:N44">ROUND(B27/B43/12*1000,0)</f>
        <v>14626</v>
      </c>
      <c r="C44" s="27">
        <f t="shared" si="10"/>
        <v>15713</v>
      </c>
      <c r="D44" s="9">
        <f t="shared" si="10"/>
        <v>16803</v>
      </c>
      <c r="E44" s="9">
        <f t="shared" si="10"/>
        <v>18418</v>
      </c>
      <c r="F44" s="9">
        <f t="shared" si="10"/>
        <v>19655</v>
      </c>
      <c r="G44" s="18">
        <f t="shared" si="10"/>
        <v>20810</v>
      </c>
      <c r="H44" s="18">
        <f>ROUND(H27/H43/12*1000,0)</f>
        <v>21918</v>
      </c>
      <c r="I44" s="18">
        <f>ROUND(I27/I43/12*1000,0)</f>
        <v>23442</v>
      </c>
      <c r="J44" s="18">
        <f t="shared" si="10"/>
        <v>24376</v>
      </c>
      <c r="K44" s="18">
        <f t="shared" si="10"/>
        <v>25599</v>
      </c>
      <c r="L44" s="18">
        <f t="shared" si="10"/>
        <v>25327</v>
      </c>
      <c r="M44" s="64">
        <f t="shared" si="2"/>
        <v>105.32436328688131</v>
      </c>
      <c r="N44" s="182">
        <f t="shared" si="10"/>
        <v>24601</v>
      </c>
      <c r="O44" s="66">
        <f t="shared" si="3"/>
        <v>103.98430168074397</v>
      </c>
      <c r="P44" s="130">
        <f t="shared" si="4"/>
        <v>105.01723006235642</v>
      </c>
      <c r="Q44" s="130">
        <f t="shared" si="0"/>
        <v>98.93745849447244</v>
      </c>
      <c r="R44" s="130">
        <f t="shared" si="1"/>
        <v>97.13349389979074</v>
      </c>
    </row>
    <row r="45" spans="1:18" ht="12.75" hidden="1">
      <c r="A45" s="106" t="s">
        <v>31</v>
      </c>
      <c r="B45" s="24"/>
      <c r="C45" s="59"/>
      <c r="D45" s="11">
        <f>SUM(MF!B63)</f>
        <v>0</v>
      </c>
      <c r="E45" s="11"/>
      <c r="F45" s="11"/>
      <c r="G45" s="37"/>
      <c r="H45" s="37"/>
      <c r="I45" s="37"/>
      <c r="J45" s="37"/>
      <c r="K45" s="37"/>
      <c r="L45" s="37"/>
      <c r="M45" s="189" t="e">
        <f t="shared" si="2"/>
        <v>#DIV/0!</v>
      </c>
      <c r="N45" s="184"/>
      <c r="O45" s="70" t="e">
        <f t="shared" si="3"/>
        <v>#DIV/0!</v>
      </c>
      <c r="P45" s="126" t="e">
        <f t="shared" si="4"/>
        <v>#DIV/0!</v>
      </c>
      <c r="Q45" s="126" t="e">
        <f t="shared" si="0"/>
        <v>#DIV/0!</v>
      </c>
      <c r="R45" s="126" t="e">
        <f t="shared" si="1"/>
        <v>#DIV/0!</v>
      </c>
    </row>
    <row r="46" spans="1:18" ht="13.5" thickBot="1">
      <c r="A46" s="21" t="s">
        <v>29</v>
      </c>
      <c r="B46" s="46">
        <f aca="true" t="shared" si="11" ref="B46:K46">B32/B43*1000</f>
        <v>75027.20897615708</v>
      </c>
      <c r="C46" s="26">
        <f t="shared" si="11"/>
        <v>85031.75550251923</v>
      </c>
      <c r="D46" s="22">
        <f t="shared" si="11"/>
        <v>77369.60828167934</v>
      </c>
      <c r="E46" s="22">
        <f t="shared" si="11"/>
        <v>78341.46030125096</v>
      </c>
      <c r="F46" s="22">
        <f t="shared" si="11"/>
        <v>79049.74358974358</v>
      </c>
      <c r="G46" s="26">
        <f>G32/G43*1000</f>
        <v>78051.18262892595</v>
      </c>
      <c r="H46" s="79">
        <f>H32/H43*1000</f>
        <v>83210.0646648313</v>
      </c>
      <c r="I46" s="79">
        <f>I32/I43*1000</f>
        <v>80430.41781303986</v>
      </c>
      <c r="J46" s="79">
        <f>J32/J43*1000</f>
        <v>81843.42284934002</v>
      </c>
      <c r="K46" s="79">
        <f t="shared" si="11"/>
        <v>86016.96020874103</v>
      </c>
      <c r="L46" s="79">
        <f>L32/L43*1000</f>
        <v>66129.65425531915</v>
      </c>
      <c r="M46" s="190">
        <f t="shared" si="2"/>
        <v>106.60961418154535</v>
      </c>
      <c r="N46" s="201">
        <f>N32/N43*1000</f>
        <v>89421.88458131772</v>
      </c>
      <c r="O46" s="71">
        <f t="shared" si="3"/>
        <v>101.75680429708159</v>
      </c>
      <c r="P46" s="133">
        <f t="shared" si="4"/>
        <v>105.09941692820423</v>
      </c>
      <c r="Q46" s="133">
        <f t="shared" si="0"/>
        <v>76.87978521310158</v>
      </c>
      <c r="R46" s="133">
        <f t="shared" si="1"/>
        <v>135.2220657862052</v>
      </c>
    </row>
    <row r="47" ht="12.75">
      <c r="A47" s="2" t="s">
        <v>58</v>
      </c>
    </row>
  </sheetData>
  <printOptions/>
  <pageMargins left="0.5905511811023623" right="0.7874015748031497" top="0.984251968503937" bottom="0.1968503937007874" header="0.9055118110236221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7"/>
  <sheetViews>
    <sheetView workbookViewId="0" topLeftCell="A1">
      <pane xSplit="1" ySplit="7" topLeftCell="G8" activePane="bottomRight" state="frozen"/>
      <selection pane="topLeft" activeCell="P51" sqref="P51"/>
      <selection pane="topRight" activeCell="P51" sqref="P51"/>
      <selection pane="bottomLeft" activeCell="P51" sqref="P51"/>
      <selection pane="bottomRight" activeCell="U14" sqref="U14:U15"/>
    </sheetView>
  </sheetViews>
  <sheetFormatPr defaultColWidth="9.125" defaultRowHeight="12.75"/>
  <cols>
    <col min="1" max="1" width="33.00390625" style="2" customWidth="1"/>
    <col min="2" max="2" width="15.00390625" style="2" hidden="1" customWidth="1"/>
    <col min="3" max="3" width="12.625" style="2" hidden="1" customWidth="1"/>
    <col min="4" max="6" width="12.75390625" style="20" hidden="1" customWidth="1"/>
    <col min="7" max="7" width="11.125" style="20" hidden="1" customWidth="1"/>
    <col min="8" max="8" width="10.375" style="20" hidden="1" customWidth="1"/>
    <col min="9" max="9" width="11.00390625" style="20" customWidth="1"/>
    <col min="10" max="10" width="10.875" style="20" customWidth="1"/>
    <col min="11" max="12" width="10.625" style="20" customWidth="1"/>
    <col min="13" max="13" width="0" style="2" hidden="1" customWidth="1"/>
    <col min="14" max="14" width="11.375" style="2" customWidth="1"/>
    <col min="15" max="16384" width="9.125" style="2" customWidth="1"/>
  </cols>
  <sheetData>
    <row r="1" spans="1:12" ht="12.75">
      <c r="A1" s="1" t="s">
        <v>65</v>
      </c>
      <c r="B1" s="1"/>
      <c r="C1" s="1"/>
      <c r="D1" s="19"/>
      <c r="E1" s="19"/>
      <c r="F1" s="19"/>
      <c r="G1" s="19"/>
      <c r="H1" s="19"/>
      <c r="I1" s="19"/>
      <c r="J1" s="19"/>
      <c r="K1" s="19"/>
      <c r="L1" s="19"/>
    </row>
    <row r="2" ht="12.75" hidden="1"/>
    <row r="3" ht="13.5" thickBot="1"/>
    <row r="4" spans="1:18" ht="12.75">
      <c r="A4" s="3"/>
      <c r="B4" s="31">
        <v>2000</v>
      </c>
      <c r="C4" s="34">
        <v>2001</v>
      </c>
      <c r="D4" s="34">
        <v>2002</v>
      </c>
      <c r="E4" s="34">
        <v>2003</v>
      </c>
      <c r="F4" s="34">
        <v>2004</v>
      </c>
      <c r="G4" s="34">
        <v>2005</v>
      </c>
      <c r="H4" s="34">
        <v>2006</v>
      </c>
      <c r="I4" s="34">
        <v>2007</v>
      </c>
      <c r="J4" s="34">
        <v>2008</v>
      </c>
      <c r="K4" s="80">
        <v>2009</v>
      </c>
      <c r="L4" s="34">
        <v>2010</v>
      </c>
      <c r="M4" s="174" t="s">
        <v>32</v>
      </c>
      <c r="N4" s="172">
        <v>2011</v>
      </c>
      <c r="O4" s="167" t="s">
        <v>32</v>
      </c>
      <c r="P4" s="121" t="s">
        <v>32</v>
      </c>
      <c r="Q4" s="121" t="s">
        <v>32</v>
      </c>
      <c r="R4" s="121" t="s">
        <v>32</v>
      </c>
    </row>
    <row r="5" spans="1:18" ht="12.75">
      <c r="A5" s="4" t="s">
        <v>0</v>
      </c>
      <c r="B5" s="32" t="s">
        <v>1</v>
      </c>
      <c r="C5" s="35" t="s">
        <v>1</v>
      </c>
      <c r="D5" s="35" t="s">
        <v>1</v>
      </c>
      <c r="E5" s="35" t="s">
        <v>1</v>
      </c>
      <c r="F5" s="35" t="s">
        <v>1</v>
      </c>
      <c r="G5" s="35" t="s">
        <v>1</v>
      </c>
      <c r="H5" s="35" t="s">
        <v>1</v>
      </c>
      <c r="I5" s="35" t="s">
        <v>1</v>
      </c>
      <c r="J5" s="35" t="s">
        <v>1</v>
      </c>
      <c r="K5" s="35" t="s">
        <v>1</v>
      </c>
      <c r="L5" s="35" t="s">
        <v>1</v>
      </c>
      <c r="M5" s="35" t="s">
        <v>49</v>
      </c>
      <c r="N5" s="49" t="s">
        <v>1</v>
      </c>
      <c r="O5" s="168" t="s">
        <v>48</v>
      </c>
      <c r="P5" s="122" t="s">
        <v>44</v>
      </c>
      <c r="Q5" s="122" t="s">
        <v>51</v>
      </c>
      <c r="R5" s="122" t="s">
        <v>60</v>
      </c>
    </row>
    <row r="6" spans="1:18" ht="13.5" thickBot="1">
      <c r="A6" s="5"/>
      <c r="B6" s="33" t="s">
        <v>34</v>
      </c>
      <c r="C6" s="36" t="s">
        <v>34</v>
      </c>
      <c r="D6" s="75" t="s">
        <v>34</v>
      </c>
      <c r="E6" s="33" t="s">
        <v>34</v>
      </c>
      <c r="F6" s="33" t="s">
        <v>39</v>
      </c>
      <c r="G6" s="36" t="s">
        <v>40</v>
      </c>
      <c r="H6" s="36" t="s">
        <v>40</v>
      </c>
      <c r="I6" s="36" t="s">
        <v>40</v>
      </c>
      <c r="J6" s="36" t="s">
        <v>40</v>
      </c>
      <c r="K6" s="36" t="s">
        <v>40</v>
      </c>
      <c r="L6" s="36" t="s">
        <v>40</v>
      </c>
      <c r="M6" s="175" t="s">
        <v>50</v>
      </c>
      <c r="N6" s="173" t="s">
        <v>40</v>
      </c>
      <c r="O6" s="169" t="s">
        <v>42</v>
      </c>
      <c r="P6" s="123" t="s">
        <v>45</v>
      </c>
      <c r="Q6" s="123" t="s">
        <v>52</v>
      </c>
      <c r="R6" s="123" t="s">
        <v>61</v>
      </c>
    </row>
    <row r="7" spans="1:18" ht="13.5" thickBot="1">
      <c r="A7" s="5" t="s">
        <v>2</v>
      </c>
      <c r="B7" s="51">
        <v>1</v>
      </c>
      <c r="C7" s="36">
        <v>2</v>
      </c>
      <c r="D7" s="36">
        <v>3</v>
      </c>
      <c r="E7" s="36">
        <v>4</v>
      </c>
      <c r="F7" s="36"/>
      <c r="G7" s="36">
        <v>1</v>
      </c>
      <c r="H7" s="36">
        <v>1</v>
      </c>
      <c r="I7" s="36">
        <v>1</v>
      </c>
      <c r="J7" s="36">
        <v>2</v>
      </c>
      <c r="K7" s="36">
        <v>3</v>
      </c>
      <c r="L7" s="36">
        <v>4</v>
      </c>
      <c r="M7" s="36" t="s">
        <v>33</v>
      </c>
      <c r="N7" s="173">
        <v>5</v>
      </c>
      <c r="O7" s="50" t="s">
        <v>54</v>
      </c>
      <c r="P7" s="50" t="s">
        <v>55</v>
      </c>
      <c r="Q7" s="50" t="s">
        <v>35</v>
      </c>
      <c r="R7" s="50" t="s">
        <v>36</v>
      </c>
    </row>
    <row r="8" spans="1:18" ht="12.75">
      <c r="A8" s="90" t="s">
        <v>38</v>
      </c>
      <c r="B8" s="89"/>
      <c r="C8" s="35"/>
      <c r="D8" s="35"/>
      <c r="E8" s="78"/>
      <c r="F8" s="101">
        <f>F9+F12</f>
        <v>731661</v>
      </c>
      <c r="G8" s="119">
        <f>G9+G12+G13+G14+G15</f>
        <v>788166</v>
      </c>
      <c r="H8" s="119">
        <f>H9+H10+H11+H12+H13+H14+H15</f>
        <v>798270</v>
      </c>
      <c r="I8" s="119">
        <f>I9+I10+I11+I12+I13+I14+I15</f>
        <v>807887</v>
      </c>
      <c r="J8" s="119">
        <f>J9+J10+J11+J12+J13+J14+J15</f>
        <v>750003</v>
      </c>
      <c r="K8" s="119">
        <f>K9+K10+K11+K12+K13+K14+K15</f>
        <v>1735039</v>
      </c>
      <c r="L8" s="119">
        <f>L9+L10+L11+L12+L13+L14+L15</f>
        <v>1675483.2</v>
      </c>
      <c r="M8" s="176">
        <f>H8/G8*100</f>
        <v>101.28196344424904</v>
      </c>
      <c r="N8" s="197">
        <f>N9+N10+N11+N12+N13+N14+N15</f>
        <v>1681131</v>
      </c>
      <c r="O8" s="103">
        <f>J8/I8*100</f>
        <v>92.8351365970736</v>
      </c>
      <c r="P8" s="103">
        <f>K8/J8*100</f>
        <v>231.3376079829014</v>
      </c>
      <c r="Q8" s="103">
        <f>L8/K8*100</f>
        <v>96.56746620681149</v>
      </c>
      <c r="R8" s="103">
        <f>N8/L8*100</f>
        <v>100.33708484812023</v>
      </c>
    </row>
    <row r="9" spans="1:18" ht="12.75">
      <c r="A9" s="135" t="s">
        <v>56</v>
      </c>
      <c r="B9" s="136"/>
      <c r="C9" s="137"/>
      <c r="D9" s="137"/>
      <c r="E9" s="138"/>
      <c r="F9" s="139">
        <v>621555</v>
      </c>
      <c r="G9" s="140"/>
      <c r="H9" s="140"/>
      <c r="I9" s="140"/>
      <c r="J9" s="141"/>
      <c r="K9" s="141">
        <v>2726</v>
      </c>
      <c r="L9" s="141">
        <v>6526</v>
      </c>
      <c r="M9" s="191"/>
      <c r="N9" s="177">
        <v>7676</v>
      </c>
      <c r="O9" s="104"/>
      <c r="P9" s="104"/>
      <c r="Q9" s="104">
        <f aca="true" t="shared" si="0" ref="Q9:Q46">L9/K9*100</f>
        <v>239.3983859134263</v>
      </c>
      <c r="R9" s="104">
        <f aca="true" t="shared" si="1" ref="R9:R46">N9/L9*100</f>
        <v>117.62182041066502</v>
      </c>
    </row>
    <row r="10" spans="1:18" ht="12.75">
      <c r="A10" s="142" t="s">
        <v>53</v>
      </c>
      <c r="B10" s="143"/>
      <c r="C10" s="144"/>
      <c r="D10" s="144"/>
      <c r="E10" s="145"/>
      <c r="F10" s="146"/>
      <c r="G10" s="147"/>
      <c r="H10" s="147">
        <v>617695</v>
      </c>
      <c r="I10" s="147">
        <v>644814</v>
      </c>
      <c r="J10" s="147">
        <v>648551</v>
      </c>
      <c r="K10" s="147">
        <v>642528</v>
      </c>
      <c r="L10" s="147">
        <v>589132</v>
      </c>
      <c r="M10" s="178"/>
      <c r="N10" s="179">
        <v>541314</v>
      </c>
      <c r="O10" s="113">
        <f aca="true" t="shared" si="2" ref="O10:O46">J10/I10*100</f>
        <v>100.57954697013403</v>
      </c>
      <c r="P10" s="113">
        <f aca="true" t="shared" si="3" ref="P10:P46">K10/J10*100</f>
        <v>99.07131436078272</v>
      </c>
      <c r="Q10" s="113">
        <f t="shared" si="0"/>
        <v>91.6897006823049</v>
      </c>
      <c r="R10" s="113">
        <f t="shared" si="1"/>
        <v>91.8833130775446</v>
      </c>
    </row>
    <row r="11" spans="1:18" ht="12.75">
      <c r="A11" s="142" t="s">
        <v>57</v>
      </c>
      <c r="B11" s="143"/>
      <c r="C11" s="144"/>
      <c r="D11" s="144"/>
      <c r="E11" s="145"/>
      <c r="F11" s="146"/>
      <c r="G11" s="148"/>
      <c r="H11" s="148"/>
      <c r="I11" s="148"/>
      <c r="J11" s="147"/>
      <c r="K11" s="147">
        <f>974046-9173</f>
        <v>964873</v>
      </c>
      <c r="L11" s="147">
        <f>918395-1285</f>
        <v>917110</v>
      </c>
      <c r="M11" s="178"/>
      <c r="N11" s="179">
        <v>941783</v>
      </c>
      <c r="O11" s="113"/>
      <c r="P11" s="113"/>
      <c r="Q11" s="113">
        <f t="shared" si="0"/>
        <v>95.04981484609891</v>
      </c>
      <c r="R11" s="113">
        <f t="shared" si="1"/>
        <v>102.69029887363565</v>
      </c>
    </row>
    <row r="12" spans="1:19" ht="12.75">
      <c r="A12" s="149" t="s">
        <v>46</v>
      </c>
      <c r="B12" s="150"/>
      <c r="C12" s="151"/>
      <c r="D12" s="152"/>
      <c r="E12" s="153"/>
      <c r="F12" s="154">
        <v>110106</v>
      </c>
      <c r="G12" s="155">
        <v>722371</v>
      </c>
      <c r="H12" s="155">
        <v>91179</v>
      </c>
      <c r="I12" s="155">
        <v>107351</v>
      </c>
      <c r="J12" s="155">
        <v>87189</v>
      </c>
      <c r="K12" s="155">
        <f>106897+9173</f>
        <v>116070</v>
      </c>
      <c r="L12" s="155">
        <f>8932.83+28248.37+9481+11502+48+6787+43183+1285</f>
        <v>109467.2</v>
      </c>
      <c r="M12" s="178">
        <f aca="true" t="shared" si="4" ref="M12:M46">H12/G12*100</f>
        <v>12.622184445388864</v>
      </c>
      <c r="N12" s="179">
        <f>42711+8590+33887+16+1407+6737+49081</f>
        <v>142429</v>
      </c>
      <c r="O12" s="113">
        <f t="shared" si="2"/>
        <v>81.21861929558179</v>
      </c>
      <c r="P12" s="113">
        <f t="shared" si="3"/>
        <v>133.12459140487906</v>
      </c>
      <c r="Q12" s="113">
        <f t="shared" si="0"/>
        <v>94.31136383217023</v>
      </c>
      <c r="R12" s="113">
        <f t="shared" si="1"/>
        <v>130.1111200432641</v>
      </c>
      <c r="S12" s="20"/>
    </row>
    <row r="13" spans="1:18" ht="12.75">
      <c r="A13" s="106" t="s">
        <v>43</v>
      </c>
      <c r="B13" s="107"/>
      <c r="C13" s="108"/>
      <c r="D13" s="59"/>
      <c r="E13" s="109"/>
      <c r="F13" s="110"/>
      <c r="G13" s="111">
        <v>65795</v>
      </c>
      <c r="H13" s="111">
        <v>89396</v>
      </c>
      <c r="I13" s="111">
        <v>55722</v>
      </c>
      <c r="J13" s="111">
        <v>14263</v>
      </c>
      <c r="K13" s="111">
        <v>8842</v>
      </c>
      <c r="L13" s="111">
        <v>14112</v>
      </c>
      <c r="M13" s="178">
        <f t="shared" si="4"/>
        <v>135.87050687742232</v>
      </c>
      <c r="N13" s="179">
        <v>10340</v>
      </c>
      <c r="O13" s="113">
        <f t="shared" si="2"/>
        <v>25.5967122500987</v>
      </c>
      <c r="P13" s="113">
        <f t="shared" si="3"/>
        <v>61.99256818341162</v>
      </c>
      <c r="Q13" s="113">
        <f t="shared" si="0"/>
        <v>159.6019000226193</v>
      </c>
      <c r="R13" s="113">
        <f t="shared" si="1"/>
        <v>73.27097505668935</v>
      </c>
    </row>
    <row r="14" spans="1:18" ht="12.75">
      <c r="A14" s="106" t="s">
        <v>41</v>
      </c>
      <c r="B14" s="107"/>
      <c r="C14" s="108"/>
      <c r="D14" s="59"/>
      <c r="E14" s="109"/>
      <c r="F14" s="110"/>
      <c r="G14" s="111"/>
      <c r="H14" s="111"/>
      <c r="I14" s="111"/>
      <c r="J14" s="111"/>
      <c r="K14" s="111"/>
      <c r="L14" s="111"/>
      <c r="M14" s="178"/>
      <c r="N14" s="179"/>
      <c r="O14" s="113"/>
      <c r="P14" s="113"/>
      <c r="Q14" s="113"/>
      <c r="R14" s="113"/>
    </row>
    <row r="15" spans="1:18" ht="13.5" thickBot="1">
      <c r="A15" s="21" t="s">
        <v>47</v>
      </c>
      <c r="B15" s="91"/>
      <c r="C15" s="92"/>
      <c r="D15" s="26"/>
      <c r="E15" s="22"/>
      <c r="F15" s="99"/>
      <c r="G15" s="100"/>
      <c r="H15" s="100"/>
      <c r="I15" s="100"/>
      <c r="J15" s="100"/>
      <c r="K15" s="100"/>
      <c r="L15" s="100">
        <v>39136</v>
      </c>
      <c r="M15" s="178"/>
      <c r="N15" s="179">
        <v>37589</v>
      </c>
      <c r="O15" s="113"/>
      <c r="P15" s="105"/>
      <c r="Q15" s="105"/>
      <c r="R15" s="105">
        <f t="shared" si="1"/>
        <v>96.04711774325429</v>
      </c>
    </row>
    <row r="16" spans="1:18" ht="12.75">
      <c r="A16" s="6" t="s">
        <v>3</v>
      </c>
      <c r="B16" s="42">
        <f aca="true" t="shared" si="5" ref="B16:K16">B18+B24</f>
        <v>3985065</v>
      </c>
      <c r="C16" s="38">
        <f t="shared" si="5"/>
        <v>4320282</v>
      </c>
      <c r="D16" s="38">
        <f t="shared" si="5"/>
        <v>4245469</v>
      </c>
      <c r="E16" s="7">
        <f t="shared" si="5"/>
        <v>4701540</v>
      </c>
      <c r="F16" s="7">
        <f t="shared" si="5"/>
        <v>4741003</v>
      </c>
      <c r="G16" s="38">
        <f t="shared" si="5"/>
        <v>4639068</v>
      </c>
      <c r="H16" s="38">
        <f t="shared" si="5"/>
        <v>4542556</v>
      </c>
      <c r="I16" s="38">
        <f t="shared" si="5"/>
        <v>4854309</v>
      </c>
      <c r="J16" s="38">
        <f>J18+J24</f>
        <v>4662360</v>
      </c>
      <c r="K16" s="38">
        <f t="shared" si="5"/>
        <v>4923593</v>
      </c>
      <c r="L16" s="38">
        <f>L18+L24</f>
        <v>4338739</v>
      </c>
      <c r="M16" s="192">
        <f t="shared" si="4"/>
        <v>97.9195821229609</v>
      </c>
      <c r="N16" s="202">
        <f>N18+N24</f>
        <v>4032652</v>
      </c>
      <c r="O16" s="171">
        <f t="shared" si="2"/>
        <v>96.0458017814688</v>
      </c>
      <c r="P16" s="129">
        <f t="shared" si="3"/>
        <v>105.60302078775557</v>
      </c>
      <c r="Q16" s="129">
        <f t="shared" si="0"/>
        <v>88.12139833654</v>
      </c>
      <c r="R16" s="129">
        <f t="shared" si="1"/>
        <v>92.94525436999092</v>
      </c>
    </row>
    <row r="17" spans="1:18" ht="12.75">
      <c r="A17" s="8" t="s">
        <v>4</v>
      </c>
      <c r="B17" s="30"/>
      <c r="C17" s="53"/>
      <c r="D17" s="18"/>
      <c r="E17" s="9"/>
      <c r="F17" s="9"/>
      <c r="G17" s="18"/>
      <c r="H17" s="18"/>
      <c r="I17" s="18"/>
      <c r="J17" s="18"/>
      <c r="K17" s="18"/>
      <c r="L17" s="18"/>
      <c r="M17" s="18"/>
      <c r="N17" s="182"/>
      <c r="O17" s="66"/>
      <c r="P17" s="130"/>
      <c r="Q17" s="130"/>
      <c r="R17" s="130"/>
    </row>
    <row r="18" spans="1:18" ht="12.75">
      <c r="A18" s="6" t="s">
        <v>5</v>
      </c>
      <c r="B18" s="42">
        <f aca="true" t="shared" si="6" ref="B18:K18">B20+B21+B22</f>
        <v>600230</v>
      </c>
      <c r="C18" s="54">
        <f t="shared" si="6"/>
        <v>626682</v>
      </c>
      <c r="D18" s="38">
        <f t="shared" si="6"/>
        <v>379203</v>
      </c>
      <c r="E18" s="7">
        <f t="shared" si="6"/>
        <v>517934</v>
      </c>
      <c r="F18" s="7">
        <f t="shared" si="6"/>
        <v>589443</v>
      </c>
      <c r="G18" s="38">
        <f t="shared" si="6"/>
        <v>441618</v>
      </c>
      <c r="H18" s="38">
        <f t="shared" si="6"/>
        <v>422924</v>
      </c>
      <c r="I18" s="38">
        <f t="shared" si="6"/>
        <v>484765</v>
      </c>
      <c r="J18" s="38">
        <f>J20+J21+J22</f>
        <v>253108</v>
      </c>
      <c r="K18" s="38">
        <f t="shared" si="6"/>
        <v>396760</v>
      </c>
      <c r="L18" s="38">
        <f>L20+L21+L22</f>
        <v>156118</v>
      </c>
      <c r="M18" s="181">
        <f t="shared" si="4"/>
        <v>95.7669297899995</v>
      </c>
      <c r="N18" s="198">
        <f>N20+N21+N22</f>
        <v>127378</v>
      </c>
      <c r="O18" s="65">
        <f t="shared" si="2"/>
        <v>52.21251534248553</v>
      </c>
      <c r="P18" s="129">
        <f t="shared" si="3"/>
        <v>156.7552191159505</v>
      </c>
      <c r="Q18" s="129">
        <f t="shared" si="0"/>
        <v>39.348220586752696</v>
      </c>
      <c r="R18" s="129">
        <f t="shared" si="1"/>
        <v>81.59084794834676</v>
      </c>
    </row>
    <row r="19" spans="1:18" ht="12.75">
      <c r="A19" s="8" t="s">
        <v>6</v>
      </c>
      <c r="B19" s="30"/>
      <c r="C19" s="55"/>
      <c r="D19" s="18"/>
      <c r="E19" s="9"/>
      <c r="F19" s="9"/>
      <c r="G19" s="18"/>
      <c r="H19" s="18"/>
      <c r="I19" s="18"/>
      <c r="J19" s="18"/>
      <c r="K19" s="18"/>
      <c r="L19" s="18"/>
      <c r="M19" s="18"/>
      <c r="N19" s="182"/>
      <c r="O19" s="66"/>
      <c r="P19" s="130"/>
      <c r="Q19" s="130"/>
      <c r="R19" s="130"/>
    </row>
    <row r="20" spans="1:18" ht="12.75">
      <c r="A20" s="8" t="s">
        <v>7</v>
      </c>
      <c r="B20" s="30">
        <v>77219</v>
      </c>
      <c r="C20" s="53">
        <v>106561</v>
      </c>
      <c r="D20" s="18">
        <v>107591</v>
      </c>
      <c r="E20" s="9">
        <v>113849</v>
      </c>
      <c r="F20" s="9">
        <v>83725</v>
      </c>
      <c r="G20" s="9">
        <v>104781</v>
      </c>
      <c r="H20" s="9">
        <v>88150</v>
      </c>
      <c r="I20" s="9">
        <v>148193</v>
      </c>
      <c r="J20" s="9">
        <v>142325</v>
      </c>
      <c r="K20" s="9">
        <v>144898</v>
      </c>
      <c r="L20" s="18">
        <v>85389</v>
      </c>
      <c r="M20" s="64">
        <f t="shared" si="4"/>
        <v>84.12784760595909</v>
      </c>
      <c r="N20" s="182">
        <f>74322</f>
        <v>74322</v>
      </c>
      <c r="O20" s="66">
        <f t="shared" si="2"/>
        <v>96.04029879953843</v>
      </c>
      <c r="P20" s="130">
        <f t="shared" si="3"/>
        <v>101.80783418232917</v>
      </c>
      <c r="Q20" s="130">
        <f t="shared" si="0"/>
        <v>58.93042001959999</v>
      </c>
      <c r="R20" s="130">
        <f t="shared" si="1"/>
        <v>87.03931419737906</v>
      </c>
    </row>
    <row r="21" spans="1:18" ht="12.75">
      <c r="A21" s="8" t="s">
        <v>8</v>
      </c>
      <c r="B21" s="30">
        <v>497026</v>
      </c>
      <c r="C21" s="53">
        <v>518205</v>
      </c>
      <c r="D21" s="18">
        <v>270457</v>
      </c>
      <c r="E21" s="9">
        <v>310607</v>
      </c>
      <c r="F21" s="9">
        <v>412071</v>
      </c>
      <c r="G21" s="9">
        <v>177243</v>
      </c>
      <c r="H21" s="9">
        <v>169114</v>
      </c>
      <c r="I21" s="9">
        <v>327803</v>
      </c>
      <c r="J21" s="9">
        <v>110014</v>
      </c>
      <c r="K21" s="9">
        <v>251862</v>
      </c>
      <c r="L21" s="18">
        <v>69954</v>
      </c>
      <c r="M21" s="64">
        <f t="shared" si="4"/>
        <v>95.41364115931236</v>
      </c>
      <c r="N21" s="182">
        <v>53056</v>
      </c>
      <c r="O21" s="66">
        <f t="shared" si="2"/>
        <v>33.56101072900492</v>
      </c>
      <c r="P21" s="130">
        <f t="shared" si="3"/>
        <v>228.93631719599324</v>
      </c>
      <c r="Q21" s="130">
        <f t="shared" si="0"/>
        <v>27.77473378278581</v>
      </c>
      <c r="R21" s="130">
        <f t="shared" si="1"/>
        <v>75.84412614003489</v>
      </c>
    </row>
    <row r="22" spans="1:18" ht="12.75">
      <c r="A22" s="12" t="s">
        <v>9</v>
      </c>
      <c r="B22" s="43">
        <v>25985</v>
      </c>
      <c r="C22" s="56">
        <v>1916</v>
      </c>
      <c r="D22" s="39">
        <v>1155</v>
      </c>
      <c r="E22" s="13">
        <v>93478</v>
      </c>
      <c r="F22" s="13">
        <v>93647</v>
      </c>
      <c r="G22" s="13">
        <v>159594</v>
      </c>
      <c r="H22" s="13">
        <v>165660</v>
      </c>
      <c r="I22" s="13">
        <v>8769</v>
      </c>
      <c r="J22" s="39">
        <v>769</v>
      </c>
      <c r="K22" s="39">
        <v>0</v>
      </c>
      <c r="L22" s="39">
        <v>775</v>
      </c>
      <c r="M22" s="39">
        <f t="shared" si="4"/>
        <v>103.80089477048008</v>
      </c>
      <c r="N22" s="183">
        <v>0</v>
      </c>
      <c r="O22" s="72">
        <f t="shared" si="2"/>
        <v>8.76952902269358</v>
      </c>
      <c r="P22" s="134">
        <f t="shared" si="3"/>
        <v>0</v>
      </c>
      <c r="Q22" s="134"/>
      <c r="R22" s="134">
        <f t="shared" si="1"/>
        <v>0</v>
      </c>
    </row>
    <row r="23" spans="1:18" ht="1.5" customHeight="1">
      <c r="A23" s="4"/>
      <c r="B23" s="24"/>
      <c r="C23" s="25"/>
      <c r="D23" s="37"/>
      <c r="E23" s="11"/>
      <c r="F23" s="11"/>
      <c r="G23" s="37"/>
      <c r="H23" s="37"/>
      <c r="I23" s="37"/>
      <c r="J23" s="37"/>
      <c r="K23" s="37"/>
      <c r="L23" s="37"/>
      <c r="M23" s="37"/>
      <c r="N23" s="184"/>
      <c r="O23" s="170" t="e">
        <f t="shared" si="2"/>
        <v>#DIV/0!</v>
      </c>
      <c r="P23" s="126" t="e">
        <f t="shared" si="3"/>
        <v>#DIV/0!</v>
      </c>
      <c r="Q23" s="126" t="e">
        <f t="shared" si="0"/>
        <v>#DIV/0!</v>
      </c>
      <c r="R23" s="126" t="e">
        <f t="shared" si="1"/>
        <v>#DIV/0!</v>
      </c>
    </row>
    <row r="24" spans="1:18" ht="12.75">
      <c r="A24" s="6" t="s">
        <v>10</v>
      </c>
      <c r="B24" s="42">
        <f aca="true" t="shared" si="7" ref="B24:K24">B26+B29+B30+B31+B32</f>
        <v>3384835</v>
      </c>
      <c r="C24" s="38">
        <f t="shared" si="7"/>
        <v>3693600</v>
      </c>
      <c r="D24" s="38">
        <f t="shared" si="7"/>
        <v>3866266</v>
      </c>
      <c r="E24" s="7">
        <f t="shared" si="7"/>
        <v>4183606</v>
      </c>
      <c r="F24" s="7">
        <f t="shared" si="7"/>
        <v>4151560</v>
      </c>
      <c r="G24" s="38">
        <f t="shared" si="7"/>
        <v>4197450</v>
      </c>
      <c r="H24" s="38">
        <f t="shared" si="7"/>
        <v>4119632</v>
      </c>
      <c r="I24" s="38">
        <f t="shared" si="7"/>
        <v>4369544</v>
      </c>
      <c r="J24" s="38">
        <f>J26+J29+J30+J31+J32</f>
        <v>4409252</v>
      </c>
      <c r="K24" s="38">
        <f t="shared" si="7"/>
        <v>4526833</v>
      </c>
      <c r="L24" s="38">
        <f>L26+L29+L30+L31+L32</f>
        <v>4182621</v>
      </c>
      <c r="M24" s="181">
        <f t="shared" si="4"/>
        <v>98.14606487272034</v>
      </c>
      <c r="N24" s="198">
        <f>N26+N29+N30+N31+N32</f>
        <v>3905274</v>
      </c>
      <c r="O24" s="65">
        <f t="shared" si="2"/>
        <v>100.90874471111859</v>
      </c>
      <c r="P24" s="129">
        <f t="shared" si="3"/>
        <v>102.66668813667262</v>
      </c>
      <c r="Q24" s="129">
        <f t="shared" si="0"/>
        <v>92.39618514754135</v>
      </c>
      <c r="R24" s="129">
        <f t="shared" si="1"/>
        <v>93.3690621263557</v>
      </c>
    </row>
    <row r="25" spans="1:18" ht="12.75">
      <c r="A25" s="8" t="s">
        <v>6</v>
      </c>
      <c r="B25" s="30"/>
      <c r="C25" s="53"/>
      <c r="D25" s="18"/>
      <c r="E25" s="9"/>
      <c r="F25" s="9"/>
      <c r="G25" s="18"/>
      <c r="H25" s="18"/>
      <c r="I25" s="18"/>
      <c r="J25" s="18"/>
      <c r="K25" s="18"/>
      <c r="L25" s="18"/>
      <c r="M25" s="64"/>
      <c r="N25" s="182"/>
      <c r="O25" s="66"/>
      <c r="P25" s="130"/>
      <c r="Q25" s="130"/>
      <c r="R25" s="130"/>
    </row>
    <row r="26" spans="1:18" ht="12.75">
      <c r="A26" s="14" t="s">
        <v>11</v>
      </c>
      <c r="B26" s="44">
        <f aca="true" t="shared" si="8" ref="B26:K26">B27+B28</f>
        <v>1863703</v>
      </c>
      <c r="C26" s="57">
        <f t="shared" si="8"/>
        <v>2021885</v>
      </c>
      <c r="D26" s="40">
        <f t="shared" si="8"/>
        <v>2206254</v>
      </c>
      <c r="E26" s="15">
        <f t="shared" si="8"/>
        <v>2391686</v>
      </c>
      <c r="F26" s="15">
        <f t="shared" si="8"/>
        <v>2244926</v>
      </c>
      <c r="G26" s="40">
        <f t="shared" si="8"/>
        <v>2199480</v>
      </c>
      <c r="H26" s="40">
        <f t="shared" si="8"/>
        <v>2232532</v>
      </c>
      <c r="I26" s="40">
        <f t="shared" si="8"/>
        <v>2375329</v>
      </c>
      <c r="J26" s="40">
        <f>J27+J28</f>
        <v>2408649</v>
      </c>
      <c r="K26" s="40">
        <f t="shared" si="8"/>
        <v>2503626</v>
      </c>
      <c r="L26" s="40">
        <f>L27+L28</f>
        <v>2280084</v>
      </c>
      <c r="M26" s="185">
        <f t="shared" si="4"/>
        <v>101.50271882444942</v>
      </c>
      <c r="N26" s="199">
        <f>N27+N28</f>
        <v>2123849</v>
      </c>
      <c r="O26" s="67">
        <f t="shared" si="2"/>
        <v>101.40275305020904</v>
      </c>
      <c r="P26" s="131">
        <f t="shared" si="3"/>
        <v>103.94316481978072</v>
      </c>
      <c r="Q26" s="131">
        <f t="shared" si="0"/>
        <v>91.07127022965891</v>
      </c>
      <c r="R26" s="131">
        <f t="shared" si="1"/>
        <v>93.14784016729209</v>
      </c>
    </row>
    <row r="27" spans="1:18" ht="12.75">
      <c r="A27" s="8" t="s">
        <v>12</v>
      </c>
      <c r="B27" s="30">
        <v>1859855</v>
      </c>
      <c r="C27" s="53">
        <v>2017845</v>
      </c>
      <c r="D27" s="18">
        <v>2199155</v>
      </c>
      <c r="E27" s="9">
        <v>2384203</v>
      </c>
      <c r="F27" s="9">
        <v>2198636</v>
      </c>
      <c r="G27" s="9">
        <v>2189979</v>
      </c>
      <c r="H27" s="9">
        <v>2224192</v>
      </c>
      <c r="I27" s="9">
        <v>2364514</v>
      </c>
      <c r="J27" s="9">
        <v>2399803</v>
      </c>
      <c r="K27" s="9">
        <v>2494347</v>
      </c>
      <c r="L27" s="18">
        <v>2269263</v>
      </c>
      <c r="M27" s="64">
        <f t="shared" si="4"/>
        <v>101.56225242342506</v>
      </c>
      <c r="N27" s="182">
        <v>2115394</v>
      </c>
      <c r="O27" s="66">
        <f t="shared" si="2"/>
        <v>101.49244199865173</v>
      </c>
      <c r="P27" s="130">
        <f t="shared" si="3"/>
        <v>103.93965671348857</v>
      </c>
      <c r="Q27" s="130">
        <f t="shared" si="0"/>
        <v>90.97623546363036</v>
      </c>
      <c r="R27" s="130">
        <f t="shared" si="1"/>
        <v>93.21942851048996</v>
      </c>
    </row>
    <row r="28" spans="1:18" ht="12.75">
      <c r="A28" s="23" t="s">
        <v>13</v>
      </c>
      <c r="B28" s="52">
        <v>3848</v>
      </c>
      <c r="C28" s="63">
        <v>4040</v>
      </c>
      <c r="D28" s="18">
        <v>7099</v>
      </c>
      <c r="E28" s="9">
        <v>7483</v>
      </c>
      <c r="F28" s="9">
        <v>46290</v>
      </c>
      <c r="G28" s="9">
        <v>9501</v>
      </c>
      <c r="H28" s="9">
        <v>8340</v>
      </c>
      <c r="I28" s="9">
        <v>10815</v>
      </c>
      <c r="J28" s="9">
        <v>8846</v>
      </c>
      <c r="K28" s="9">
        <v>9279</v>
      </c>
      <c r="L28" s="18">
        <v>10821</v>
      </c>
      <c r="M28" s="64">
        <f t="shared" si="4"/>
        <v>87.78023365961478</v>
      </c>
      <c r="N28" s="182">
        <v>8455</v>
      </c>
      <c r="O28" s="66">
        <f t="shared" si="2"/>
        <v>81.79380490060102</v>
      </c>
      <c r="P28" s="130">
        <f t="shared" si="3"/>
        <v>104.89486773683021</v>
      </c>
      <c r="Q28" s="130">
        <f t="shared" si="0"/>
        <v>116.61817006142903</v>
      </c>
      <c r="R28" s="130">
        <f t="shared" si="1"/>
        <v>78.13510766102948</v>
      </c>
    </row>
    <row r="29" spans="1:18" ht="12.75">
      <c r="A29" s="16" t="s">
        <v>14</v>
      </c>
      <c r="B29" s="45">
        <v>652296</v>
      </c>
      <c r="C29" s="58">
        <v>707658</v>
      </c>
      <c r="D29" s="41">
        <v>772159</v>
      </c>
      <c r="E29" s="17">
        <v>837033</v>
      </c>
      <c r="F29" s="17">
        <v>772208</v>
      </c>
      <c r="G29" s="17">
        <v>769286</v>
      </c>
      <c r="H29" s="17">
        <v>781282</v>
      </c>
      <c r="I29" s="17">
        <v>830630</v>
      </c>
      <c r="J29" s="17">
        <v>843027</v>
      </c>
      <c r="K29" s="17">
        <v>851132</v>
      </c>
      <c r="L29" s="41">
        <v>774379</v>
      </c>
      <c r="M29" s="186">
        <f t="shared" si="4"/>
        <v>101.55936803737491</v>
      </c>
      <c r="N29" s="200">
        <v>722109</v>
      </c>
      <c r="O29" s="68">
        <f t="shared" si="2"/>
        <v>101.49248161034396</v>
      </c>
      <c r="P29" s="132">
        <f t="shared" si="3"/>
        <v>100.96141641964019</v>
      </c>
      <c r="Q29" s="132">
        <f t="shared" si="0"/>
        <v>90.98224482218974</v>
      </c>
      <c r="R29" s="132">
        <f t="shared" si="1"/>
        <v>93.25007522156463</v>
      </c>
    </row>
    <row r="30" spans="1:21" ht="12.75">
      <c r="A30" s="16" t="s">
        <v>15</v>
      </c>
      <c r="B30" s="45">
        <v>37193</v>
      </c>
      <c r="C30" s="58">
        <v>40356</v>
      </c>
      <c r="D30" s="41">
        <v>43929</v>
      </c>
      <c r="E30" s="17">
        <v>47684</v>
      </c>
      <c r="F30" s="17">
        <v>43972</v>
      </c>
      <c r="G30" s="17">
        <v>43800</v>
      </c>
      <c r="H30" s="17">
        <v>44482</v>
      </c>
      <c r="I30" s="17">
        <v>47290</v>
      </c>
      <c r="J30" s="17">
        <v>47996</v>
      </c>
      <c r="K30" s="17">
        <v>49895</v>
      </c>
      <c r="L30" s="41">
        <v>45386</v>
      </c>
      <c r="M30" s="186">
        <f t="shared" si="4"/>
        <v>101.55707762557078</v>
      </c>
      <c r="N30" s="200">
        <v>21154</v>
      </c>
      <c r="O30" s="68">
        <f t="shared" si="2"/>
        <v>101.49291604990485</v>
      </c>
      <c r="P30" s="132">
        <f t="shared" si="3"/>
        <v>103.95657971497624</v>
      </c>
      <c r="Q30" s="132">
        <f t="shared" si="0"/>
        <v>90.96302234692854</v>
      </c>
      <c r="R30" s="132">
        <f t="shared" si="1"/>
        <v>46.60908650244569</v>
      </c>
      <c r="T30" s="120"/>
      <c r="U30" s="120"/>
    </row>
    <row r="31" spans="1:18" ht="12.75">
      <c r="A31" s="14" t="s">
        <v>16</v>
      </c>
      <c r="B31" s="44">
        <v>16051</v>
      </c>
      <c r="C31" s="57">
        <v>19856</v>
      </c>
      <c r="D31" s="41">
        <v>36984</v>
      </c>
      <c r="E31" s="17">
        <v>68893</v>
      </c>
      <c r="F31" s="17">
        <v>164927</v>
      </c>
      <c r="G31" s="17">
        <v>204235</v>
      </c>
      <c r="H31" s="17">
        <v>250995</v>
      </c>
      <c r="I31" s="17">
        <v>310574</v>
      </c>
      <c r="J31" s="15">
        <v>343323</v>
      </c>
      <c r="K31" s="15">
        <v>362286</v>
      </c>
      <c r="L31" s="40">
        <v>421599</v>
      </c>
      <c r="M31" s="185">
        <f t="shared" si="4"/>
        <v>122.89519426151247</v>
      </c>
      <c r="N31" s="199">
        <v>414270</v>
      </c>
      <c r="O31" s="68">
        <f t="shared" si="2"/>
        <v>110.54466890338534</v>
      </c>
      <c r="P31" s="132">
        <f t="shared" si="3"/>
        <v>105.5233701208483</v>
      </c>
      <c r="Q31" s="132">
        <f t="shared" si="0"/>
        <v>116.37187194647322</v>
      </c>
      <c r="R31" s="132">
        <f t="shared" si="1"/>
        <v>98.26161826759551</v>
      </c>
    </row>
    <row r="32" spans="1:18" ht="12.75">
      <c r="A32" s="14" t="s">
        <v>17</v>
      </c>
      <c r="B32" s="44">
        <f aca="true" t="shared" si="9" ref="B32:K32">B34+B35+B36+B38+B42</f>
        <v>815592</v>
      </c>
      <c r="C32" s="57">
        <f t="shared" si="9"/>
        <v>903845</v>
      </c>
      <c r="D32" s="40">
        <f t="shared" si="9"/>
        <v>806940</v>
      </c>
      <c r="E32" s="15">
        <f t="shared" si="9"/>
        <v>838310</v>
      </c>
      <c r="F32" s="15">
        <f t="shared" si="9"/>
        <v>925527</v>
      </c>
      <c r="G32" s="40">
        <f t="shared" si="9"/>
        <v>980649</v>
      </c>
      <c r="H32" s="40">
        <f t="shared" si="9"/>
        <v>810341</v>
      </c>
      <c r="I32" s="40">
        <f t="shared" si="9"/>
        <v>805721</v>
      </c>
      <c r="J32" s="40">
        <f>J34+J35+J36+J38+J42</f>
        <v>766257</v>
      </c>
      <c r="K32" s="40">
        <f t="shared" si="9"/>
        <v>759894</v>
      </c>
      <c r="L32" s="40">
        <f>L34+L35+L36+L38+L42</f>
        <v>661173</v>
      </c>
      <c r="M32" s="185">
        <f t="shared" si="4"/>
        <v>82.63313377161451</v>
      </c>
      <c r="N32" s="199">
        <f>N34+N35+N36+N38+N42</f>
        <v>623892</v>
      </c>
      <c r="O32" s="67">
        <f t="shared" si="2"/>
        <v>95.10202663204757</v>
      </c>
      <c r="P32" s="131">
        <f t="shared" si="3"/>
        <v>99.16959975569554</v>
      </c>
      <c r="Q32" s="131">
        <f t="shared" si="0"/>
        <v>87.00858277601876</v>
      </c>
      <c r="R32" s="131">
        <f t="shared" si="1"/>
        <v>94.3613849930351</v>
      </c>
    </row>
    <row r="33" spans="1:18" ht="12.75">
      <c r="A33" s="8" t="s">
        <v>18</v>
      </c>
      <c r="B33" s="30"/>
      <c r="C33" s="53"/>
      <c r="D33" s="18"/>
      <c r="E33" s="9"/>
      <c r="F33" s="9"/>
      <c r="G33" s="18"/>
      <c r="H33" s="18"/>
      <c r="I33" s="18"/>
      <c r="J33" s="18"/>
      <c r="K33" s="18"/>
      <c r="L33" s="18"/>
      <c r="M33" s="64"/>
      <c r="N33" s="182"/>
      <c r="O33" s="66"/>
      <c r="P33" s="130"/>
      <c r="Q33" s="130"/>
      <c r="R33" s="130"/>
    </row>
    <row r="34" spans="1:18" ht="12.75">
      <c r="A34" s="8" t="s">
        <v>19</v>
      </c>
      <c r="B34" s="30">
        <v>171873</v>
      </c>
      <c r="C34" s="27">
        <v>206547</v>
      </c>
      <c r="D34" s="9">
        <v>134555</v>
      </c>
      <c r="E34" s="9">
        <v>162236</v>
      </c>
      <c r="F34" s="9">
        <v>138187</v>
      </c>
      <c r="G34" s="9">
        <v>162077</v>
      </c>
      <c r="H34" s="9">
        <v>129234</v>
      </c>
      <c r="I34" s="9">
        <v>118064</v>
      </c>
      <c r="J34" s="9">
        <v>109594</v>
      </c>
      <c r="K34" s="9">
        <v>93512</v>
      </c>
      <c r="L34" s="18">
        <v>68347</v>
      </c>
      <c r="M34" s="64">
        <f t="shared" si="4"/>
        <v>79.73617478112254</v>
      </c>
      <c r="N34" s="182">
        <v>80325</v>
      </c>
      <c r="O34" s="66">
        <f t="shared" si="2"/>
        <v>92.82592492207617</v>
      </c>
      <c r="P34" s="130">
        <f t="shared" si="3"/>
        <v>85.32583900578499</v>
      </c>
      <c r="Q34" s="130">
        <f t="shared" si="0"/>
        <v>73.08901531354265</v>
      </c>
      <c r="R34" s="130">
        <f t="shared" si="1"/>
        <v>117.52527543271833</v>
      </c>
    </row>
    <row r="35" spans="1:19" ht="12.75">
      <c r="A35" s="8" t="s">
        <v>20</v>
      </c>
      <c r="B35" s="30">
        <v>123975</v>
      </c>
      <c r="C35" s="27">
        <v>123133</v>
      </c>
      <c r="D35" s="9">
        <v>123803</v>
      </c>
      <c r="E35" s="9">
        <v>126676</v>
      </c>
      <c r="F35" s="9">
        <v>119179</v>
      </c>
      <c r="G35" s="9">
        <v>108602</v>
      </c>
      <c r="H35" s="9">
        <v>111451</v>
      </c>
      <c r="I35" s="9">
        <v>108618</v>
      </c>
      <c r="J35" s="9">
        <v>124885</v>
      </c>
      <c r="K35" s="9">
        <v>122416</v>
      </c>
      <c r="L35" s="18">
        <v>114903</v>
      </c>
      <c r="M35" s="64">
        <f t="shared" si="4"/>
        <v>102.62334026997661</v>
      </c>
      <c r="N35" s="182">
        <v>104794</v>
      </c>
      <c r="O35" s="66">
        <f t="shared" si="2"/>
        <v>114.97633909665063</v>
      </c>
      <c r="P35" s="130">
        <f t="shared" si="3"/>
        <v>98.02298114265125</v>
      </c>
      <c r="Q35" s="130">
        <f t="shared" si="0"/>
        <v>93.86273036204418</v>
      </c>
      <c r="R35" s="130">
        <f t="shared" si="1"/>
        <v>91.20214441746516</v>
      </c>
      <c r="S35" s="20"/>
    </row>
    <row r="36" spans="1:18" ht="12.75">
      <c r="A36" s="8" t="s">
        <v>21</v>
      </c>
      <c r="B36" s="30">
        <v>362170</v>
      </c>
      <c r="C36" s="27">
        <v>352990</v>
      </c>
      <c r="D36" s="9">
        <v>359959</v>
      </c>
      <c r="E36" s="9">
        <v>371207</v>
      </c>
      <c r="F36" s="9">
        <v>358887</v>
      </c>
      <c r="G36" s="9">
        <v>327158</v>
      </c>
      <c r="H36" s="9">
        <v>333369</v>
      </c>
      <c r="I36" s="9">
        <v>348335</v>
      </c>
      <c r="J36" s="9">
        <v>370422</v>
      </c>
      <c r="K36" s="9">
        <v>388895</v>
      </c>
      <c r="L36" s="18">
        <v>337844</v>
      </c>
      <c r="M36" s="64">
        <f t="shared" si="4"/>
        <v>101.898471075138</v>
      </c>
      <c r="N36" s="182">
        <v>289542</v>
      </c>
      <c r="O36" s="66">
        <f t="shared" si="2"/>
        <v>106.34073521179323</v>
      </c>
      <c r="P36" s="130">
        <f t="shared" si="3"/>
        <v>104.98701481013546</v>
      </c>
      <c r="Q36" s="130">
        <f t="shared" si="0"/>
        <v>86.87280628447267</v>
      </c>
      <c r="R36" s="130">
        <f t="shared" si="1"/>
        <v>85.70286877967345</v>
      </c>
    </row>
    <row r="37" spans="1:18" ht="12.75" hidden="1">
      <c r="A37" s="8" t="s">
        <v>22</v>
      </c>
      <c r="B37" s="30">
        <v>108435</v>
      </c>
      <c r="C37" s="27">
        <v>100869</v>
      </c>
      <c r="D37" s="9">
        <v>96643</v>
      </c>
      <c r="E37" s="9">
        <v>91161</v>
      </c>
      <c r="F37" s="9">
        <v>86375</v>
      </c>
      <c r="G37" s="9"/>
      <c r="H37" s="9"/>
      <c r="I37" s="9"/>
      <c r="J37" s="9"/>
      <c r="K37" s="9"/>
      <c r="L37" s="18"/>
      <c r="M37" s="64" t="e">
        <f t="shared" si="4"/>
        <v>#DIV/0!</v>
      </c>
      <c r="N37" s="182"/>
      <c r="O37" s="66" t="e">
        <f t="shared" si="2"/>
        <v>#DIV/0!</v>
      </c>
      <c r="P37" s="130" t="e">
        <f t="shared" si="3"/>
        <v>#DIV/0!</v>
      </c>
      <c r="Q37" s="130" t="e">
        <f t="shared" si="0"/>
        <v>#DIV/0!</v>
      </c>
      <c r="R37" s="130" t="e">
        <f t="shared" si="1"/>
        <v>#DIV/0!</v>
      </c>
    </row>
    <row r="38" spans="1:18" ht="12.75">
      <c r="A38" s="8" t="s">
        <v>23</v>
      </c>
      <c r="B38" s="30">
        <v>147820</v>
      </c>
      <c r="C38" s="27">
        <v>158262</v>
      </c>
      <c r="D38" s="9">
        <v>143877</v>
      </c>
      <c r="E38" s="9">
        <v>150222</v>
      </c>
      <c r="F38" s="9">
        <v>164043</v>
      </c>
      <c r="G38" s="9">
        <v>165111</v>
      </c>
      <c r="H38" s="9">
        <v>167364</v>
      </c>
      <c r="I38" s="9">
        <v>105247</v>
      </c>
      <c r="J38" s="9">
        <v>109501</v>
      </c>
      <c r="K38" s="9">
        <v>104315</v>
      </c>
      <c r="L38" s="18">
        <v>93096</v>
      </c>
      <c r="M38" s="64">
        <f t="shared" si="4"/>
        <v>101.36453658447952</v>
      </c>
      <c r="N38" s="182">
        <v>97000</v>
      </c>
      <c r="O38" s="66">
        <f t="shared" si="2"/>
        <v>104.04192043478675</v>
      </c>
      <c r="P38" s="130">
        <f t="shared" si="3"/>
        <v>95.26397019205304</v>
      </c>
      <c r="Q38" s="130">
        <f t="shared" si="0"/>
        <v>89.24507501318124</v>
      </c>
      <c r="R38" s="130">
        <f t="shared" si="1"/>
        <v>104.19352066683854</v>
      </c>
    </row>
    <row r="39" spans="1:18" ht="12.75" hidden="1">
      <c r="A39" s="8" t="s">
        <v>24</v>
      </c>
      <c r="B39" s="30">
        <v>104696</v>
      </c>
      <c r="C39" s="27">
        <v>115926</v>
      </c>
      <c r="D39" s="9">
        <v>105139</v>
      </c>
      <c r="E39" s="9">
        <v>114511</v>
      </c>
      <c r="F39" s="9">
        <v>124065</v>
      </c>
      <c r="G39" s="9"/>
      <c r="H39" s="9"/>
      <c r="I39" s="9"/>
      <c r="J39" s="9"/>
      <c r="K39" s="9"/>
      <c r="L39" s="18"/>
      <c r="M39" s="64" t="e">
        <f t="shared" si="4"/>
        <v>#DIV/0!</v>
      </c>
      <c r="N39" s="182"/>
      <c r="O39" s="66" t="e">
        <f t="shared" si="2"/>
        <v>#DIV/0!</v>
      </c>
      <c r="P39" s="130" t="e">
        <f t="shared" si="3"/>
        <v>#DIV/0!</v>
      </c>
      <c r="Q39" s="130" t="e">
        <f t="shared" si="0"/>
        <v>#DIV/0!</v>
      </c>
      <c r="R39" s="130" t="e">
        <f t="shared" si="1"/>
        <v>#DIV/0!</v>
      </c>
    </row>
    <row r="40" spans="1:18" ht="12.75" hidden="1">
      <c r="A40" s="8" t="s">
        <v>25</v>
      </c>
      <c r="B40" s="30">
        <v>3902</v>
      </c>
      <c r="C40" s="27">
        <v>4798</v>
      </c>
      <c r="D40" s="9">
        <v>2380</v>
      </c>
      <c r="E40" s="9">
        <v>1660</v>
      </c>
      <c r="F40" s="9">
        <v>805</v>
      </c>
      <c r="G40" s="9"/>
      <c r="H40" s="9"/>
      <c r="I40" s="9"/>
      <c r="J40" s="9"/>
      <c r="K40" s="9"/>
      <c r="L40" s="18"/>
      <c r="M40" s="64" t="e">
        <f t="shared" si="4"/>
        <v>#DIV/0!</v>
      </c>
      <c r="N40" s="182"/>
      <c r="O40" s="66" t="e">
        <f t="shared" si="2"/>
        <v>#DIV/0!</v>
      </c>
      <c r="P40" s="130" t="e">
        <f t="shared" si="3"/>
        <v>#DIV/0!</v>
      </c>
      <c r="Q40" s="130" t="e">
        <f t="shared" si="0"/>
        <v>#DIV/0!</v>
      </c>
      <c r="R40" s="130" t="e">
        <f t="shared" si="1"/>
        <v>#DIV/0!</v>
      </c>
    </row>
    <row r="41" spans="1:18" ht="12.75" hidden="1">
      <c r="A41" s="8" t="s">
        <v>26</v>
      </c>
      <c r="B41" s="30">
        <v>19755</v>
      </c>
      <c r="C41" s="27">
        <v>17715</v>
      </c>
      <c r="D41" s="9">
        <v>22048</v>
      </c>
      <c r="E41" s="9">
        <v>20367</v>
      </c>
      <c r="F41" s="9">
        <v>25725</v>
      </c>
      <c r="G41" s="9"/>
      <c r="H41" s="9"/>
      <c r="I41" s="9"/>
      <c r="J41" s="9"/>
      <c r="K41" s="9"/>
      <c r="L41" s="18"/>
      <c r="M41" s="64" t="e">
        <f t="shared" si="4"/>
        <v>#DIV/0!</v>
      </c>
      <c r="N41" s="182"/>
      <c r="O41" s="66" t="e">
        <f t="shared" si="2"/>
        <v>#DIV/0!</v>
      </c>
      <c r="P41" s="130" t="e">
        <f t="shared" si="3"/>
        <v>#DIV/0!</v>
      </c>
      <c r="Q41" s="130" t="e">
        <f t="shared" si="0"/>
        <v>#DIV/0!</v>
      </c>
      <c r="R41" s="130" t="e">
        <f t="shared" si="1"/>
        <v>#DIV/0!</v>
      </c>
    </row>
    <row r="42" spans="1:18" ht="13.5" thickBot="1">
      <c r="A42" s="21" t="s">
        <v>27</v>
      </c>
      <c r="B42" s="46">
        <v>9754</v>
      </c>
      <c r="C42" s="59">
        <v>62913</v>
      </c>
      <c r="D42" s="22">
        <v>44746</v>
      </c>
      <c r="E42" s="22">
        <v>27969</v>
      </c>
      <c r="F42" s="22">
        <v>145231</v>
      </c>
      <c r="G42" s="22">
        <v>217701</v>
      </c>
      <c r="H42" s="22">
        <v>68923</v>
      </c>
      <c r="I42" s="22">
        <v>125457</v>
      </c>
      <c r="J42" s="22">
        <v>51855</v>
      </c>
      <c r="K42" s="22">
        <v>50756</v>
      </c>
      <c r="L42" s="26">
        <v>46983</v>
      </c>
      <c r="M42" s="188">
        <f t="shared" si="4"/>
        <v>31.659477907772587</v>
      </c>
      <c r="N42" s="196">
        <v>52231</v>
      </c>
      <c r="O42" s="69">
        <f t="shared" si="2"/>
        <v>41.33288696525503</v>
      </c>
      <c r="P42" s="105">
        <f t="shared" si="3"/>
        <v>97.88062867611609</v>
      </c>
      <c r="Q42" s="105">
        <f t="shared" si="0"/>
        <v>92.56639609110253</v>
      </c>
      <c r="R42" s="105">
        <f t="shared" si="1"/>
        <v>111.16999765872761</v>
      </c>
    </row>
    <row r="43" spans="1:18" ht="12.75">
      <c r="A43" s="8" t="s">
        <v>28</v>
      </c>
      <c r="B43" s="30">
        <v>9288</v>
      </c>
      <c r="C43" s="60">
        <v>9260</v>
      </c>
      <c r="D43" s="9">
        <v>9221</v>
      </c>
      <c r="E43" s="9">
        <v>9164</v>
      </c>
      <c r="F43" s="9">
        <v>7867</v>
      </c>
      <c r="G43" s="9">
        <v>7029</v>
      </c>
      <c r="H43" s="9">
        <v>6762</v>
      </c>
      <c r="I43" s="9">
        <v>6551</v>
      </c>
      <c r="J43" s="9">
        <v>6202</v>
      </c>
      <c r="K43" s="9">
        <v>6194</v>
      </c>
      <c r="L43" s="18">
        <v>5890</v>
      </c>
      <c r="M43" s="64">
        <f t="shared" si="4"/>
        <v>96.20145113102859</v>
      </c>
      <c r="N43" s="182">
        <v>5614</v>
      </c>
      <c r="O43" s="66">
        <f t="shared" si="2"/>
        <v>94.6725690734239</v>
      </c>
      <c r="P43" s="130">
        <f t="shared" si="3"/>
        <v>99.871009351822</v>
      </c>
      <c r="Q43" s="130">
        <f t="shared" si="0"/>
        <v>95.0920245398773</v>
      </c>
      <c r="R43" s="130">
        <f t="shared" si="1"/>
        <v>95.31409168081494</v>
      </c>
    </row>
    <row r="44" spans="1:18" ht="12.75">
      <c r="A44" s="4" t="s">
        <v>30</v>
      </c>
      <c r="B44" s="28">
        <f aca="true" t="shared" si="10" ref="B44:N44">ROUND(B27/B43/12*1000,0)</f>
        <v>16687</v>
      </c>
      <c r="C44" s="27">
        <f t="shared" si="10"/>
        <v>18159</v>
      </c>
      <c r="D44" s="9">
        <f t="shared" si="10"/>
        <v>19875</v>
      </c>
      <c r="E44" s="9">
        <f t="shared" si="10"/>
        <v>21681</v>
      </c>
      <c r="F44" s="9">
        <f t="shared" si="10"/>
        <v>23290</v>
      </c>
      <c r="G44" s="18">
        <f t="shared" si="10"/>
        <v>25964</v>
      </c>
      <c r="H44" s="18">
        <f>ROUND(H27/H43/12*1000,0)</f>
        <v>27410</v>
      </c>
      <c r="I44" s="18">
        <f>ROUND(I27/I43/12*1000,0)</f>
        <v>30078</v>
      </c>
      <c r="J44" s="18">
        <f t="shared" si="10"/>
        <v>32245</v>
      </c>
      <c r="K44" s="18">
        <f t="shared" si="10"/>
        <v>33559</v>
      </c>
      <c r="L44" s="18">
        <f t="shared" si="10"/>
        <v>32106</v>
      </c>
      <c r="M44" s="64">
        <f t="shared" si="4"/>
        <v>105.56924973039594</v>
      </c>
      <c r="N44" s="182">
        <f t="shared" si="10"/>
        <v>31401</v>
      </c>
      <c r="O44" s="66">
        <f t="shared" si="2"/>
        <v>107.20460136977192</v>
      </c>
      <c r="P44" s="130">
        <f t="shared" si="3"/>
        <v>104.07505039541014</v>
      </c>
      <c r="Q44" s="130">
        <f t="shared" si="0"/>
        <v>95.67031198784231</v>
      </c>
      <c r="R44" s="130">
        <f t="shared" si="1"/>
        <v>97.80414875724163</v>
      </c>
    </row>
    <row r="45" spans="1:18" ht="12.75" hidden="1">
      <c r="A45" s="106" t="s">
        <v>31</v>
      </c>
      <c r="B45" s="24"/>
      <c r="C45" s="59"/>
      <c r="D45" s="11">
        <f>SUM(MF!B63)</f>
        <v>0</v>
      </c>
      <c r="E45" s="11"/>
      <c r="F45" s="11"/>
      <c r="G45" s="37"/>
      <c r="H45" s="37"/>
      <c r="I45" s="37"/>
      <c r="J45" s="37"/>
      <c r="K45" s="37"/>
      <c r="L45" s="37"/>
      <c r="M45" s="189" t="e">
        <f t="shared" si="4"/>
        <v>#DIV/0!</v>
      </c>
      <c r="N45" s="184"/>
      <c r="O45" s="70" t="e">
        <f t="shared" si="2"/>
        <v>#DIV/0!</v>
      </c>
      <c r="P45" s="126" t="e">
        <f t="shared" si="3"/>
        <v>#DIV/0!</v>
      </c>
      <c r="Q45" s="126" t="e">
        <f t="shared" si="0"/>
        <v>#DIV/0!</v>
      </c>
      <c r="R45" s="126" t="e">
        <f t="shared" si="1"/>
        <v>#DIV/0!</v>
      </c>
    </row>
    <row r="46" spans="1:18" ht="13.5" thickBot="1">
      <c r="A46" s="21" t="s">
        <v>29</v>
      </c>
      <c r="B46" s="46">
        <f aca="true" t="shared" si="11" ref="B46:K46">B32/B43*1000</f>
        <v>87811.36950904393</v>
      </c>
      <c r="C46" s="26">
        <f t="shared" si="11"/>
        <v>97607.4514038877</v>
      </c>
      <c r="D46" s="22">
        <f t="shared" si="11"/>
        <v>87511.115931027</v>
      </c>
      <c r="E46" s="22">
        <f t="shared" si="11"/>
        <v>91478.61195984286</v>
      </c>
      <c r="F46" s="22">
        <f t="shared" si="11"/>
        <v>117646.75225626033</v>
      </c>
      <c r="G46" s="26">
        <f>G32/G43*1000</f>
        <v>139514.7247119078</v>
      </c>
      <c r="H46" s="79">
        <f>H32/H43*1000</f>
        <v>119837.47412008281</v>
      </c>
      <c r="I46" s="79">
        <f>I32/I43*1000</f>
        <v>122992.06228056786</v>
      </c>
      <c r="J46" s="79">
        <f>J32/J43*1000</f>
        <v>123549.98387616898</v>
      </c>
      <c r="K46" s="79">
        <f t="shared" si="11"/>
        <v>122682.27316758153</v>
      </c>
      <c r="L46" s="79">
        <f>L32/L43*1000</f>
        <v>112253.480475382</v>
      </c>
      <c r="M46" s="190">
        <f t="shared" si="4"/>
        <v>85.89593275372353</v>
      </c>
      <c r="N46" s="201">
        <f>N32/N43*1000</f>
        <v>111131.45707160671</v>
      </c>
      <c r="O46" s="71">
        <f t="shared" si="2"/>
        <v>100.45362406748526</v>
      </c>
      <c r="P46" s="133">
        <f t="shared" si="3"/>
        <v>99.29768448253532</v>
      </c>
      <c r="Q46" s="133">
        <f t="shared" si="0"/>
        <v>91.49934833865198</v>
      </c>
      <c r="R46" s="133">
        <f t="shared" si="1"/>
        <v>99.00045557694635</v>
      </c>
    </row>
    <row r="47" ht="12.75">
      <c r="A47" s="2" t="s">
        <v>58</v>
      </c>
    </row>
  </sheetData>
  <printOptions/>
  <pageMargins left="0.5905511811023623" right="0.7874015748031497" top="0.984251968503937" bottom="0.1968503937007874" header="0.9055118110236221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7"/>
  <sheetViews>
    <sheetView workbookViewId="0" topLeftCell="A1">
      <selection activeCell="V27" sqref="V27"/>
    </sheetView>
  </sheetViews>
  <sheetFormatPr defaultColWidth="9.125" defaultRowHeight="12.75"/>
  <cols>
    <col min="1" max="1" width="33.125" style="2" customWidth="1"/>
    <col min="2" max="2" width="12.75390625" style="2" hidden="1" customWidth="1"/>
    <col min="3" max="3" width="11.25390625" style="2" hidden="1" customWidth="1"/>
    <col min="4" max="4" width="11.75390625" style="20" hidden="1" customWidth="1"/>
    <col min="5" max="5" width="10.625" style="20" hidden="1" customWidth="1"/>
    <col min="6" max="6" width="10.125" style="20" hidden="1" customWidth="1"/>
    <col min="7" max="8" width="11.00390625" style="20" hidden="1" customWidth="1"/>
    <col min="9" max="12" width="11.00390625" style="20" customWidth="1"/>
    <col min="13" max="13" width="8.875" style="2" hidden="1" customWidth="1"/>
    <col min="14" max="14" width="11.375" style="2" customWidth="1"/>
    <col min="15" max="16384" width="9.125" style="2" customWidth="1"/>
  </cols>
  <sheetData>
    <row r="1" spans="1:12" ht="12.75">
      <c r="A1" s="1" t="s">
        <v>66</v>
      </c>
      <c r="B1" s="1"/>
      <c r="C1" s="1"/>
      <c r="D1" s="19"/>
      <c r="E1" s="19"/>
      <c r="F1" s="19"/>
      <c r="G1" s="19"/>
      <c r="H1" s="19"/>
      <c r="I1" s="19"/>
      <c r="J1" s="19"/>
      <c r="K1" s="19"/>
      <c r="L1" s="19"/>
    </row>
    <row r="2" ht="12.75" hidden="1"/>
    <row r="3" ht="13.5" thickBot="1"/>
    <row r="4" spans="1:18" ht="12.75">
      <c r="A4" s="3"/>
      <c r="B4" s="31">
        <v>2000</v>
      </c>
      <c r="C4" s="34">
        <v>2001</v>
      </c>
      <c r="D4" s="34">
        <v>2002</v>
      </c>
      <c r="E4" s="34">
        <v>2003</v>
      </c>
      <c r="F4" s="34">
        <v>2004</v>
      </c>
      <c r="G4" s="34">
        <v>2005</v>
      </c>
      <c r="H4" s="34">
        <v>2006</v>
      </c>
      <c r="I4" s="34">
        <v>2007</v>
      </c>
      <c r="J4" s="34">
        <v>2008</v>
      </c>
      <c r="K4" s="80">
        <v>2009</v>
      </c>
      <c r="L4" s="34">
        <v>2010</v>
      </c>
      <c r="M4" s="174" t="s">
        <v>32</v>
      </c>
      <c r="N4" s="172">
        <v>2011</v>
      </c>
      <c r="O4" s="167" t="s">
        <v>32</v>
      </c>
      <c r="P4" s="48" t="s">
        <v>32</v>
      </c>
      <c r="Q4" s="48" t="s">
        <v>32</v>
      </c>
      <c r="R4" s="48" t="s">
        <v>32</v>
      </c>
    </row>
    <row r="5" spans="1:18" ht="12.75">
      <c r="A5" s="4" t="s">
        <v>0</v>
      </c>
      <c r="B5" s="32" t="s">
        <v>1</v>
      </c>
      <c r="C5" s="35" t="s">
        <v>1</v>
      </c>
      <c r="D5" s="35" t="s">
        <v>1</v>
      </c>
      <c r="E5" s="35" t="s">
        <v>1</v>
      </c>
      <c r="F5" s="35" t="s">
        <v>1</v>
      </c>
      <c r="G5" s="35" t="s">
        <v>1</v>
      </c>
      <c r="H5" s="35" t="s">
        <v>1</v>
      </c>
      <c r="I5" s="35" t="s">
        <v>1</v>
      </c>
      <c r="J5" s="35" t="s">
        <v>1</v>
      </c>
      <c r="K5" s="35" t="s">
        <v>1</v>
      </c>
      <c r="L5" s="35" t="s">
        <v>1</v>
      </c>
      <c r="M5" s="35" t="s">
        <v>49</v>
      </c>
      <c r="N5" s="49" t="s">
        <v>1</v>
      </c>
      <c r="O5" s="168" t="s">
        <v>48</v>
      </c>
      <c r="P5" s="49" t="s">
        <v>44</v>
      </c>
      <c r="Q5" s="49" t="s">
        <v>51</v>
      </c>
      <c r="R5" s="49" t="s">
        <v>60</v>
      </c>
    </row>
    <row r="6" spans="1:18" ht="13.5" thickBot="1">
      <c r="A6" s="5"/>
      <c r="B6" s="33" t="s">
        <v>34</v>
      </c>
      <c r="C6" s="74" t="s">
        <v>34</v>
      </c>
      <c r="D6" s="36" t="s">
        <v>34</v>
      </c>
      <c r="E6" s="36" t="s">
        <v>34</v>
      </c>
      <c r="F6" s="33" t="s">
        <v>39</v>
      </c>
      <c r="G6" s="36" t="s">
        <v>40</v>
      </c>
      <c r="H6" s="36" t="s">
        <v>40</v>
      </c>
      <c r="I6" s="36" t="s">
        <v>40</v>
      </c>
      <c r="J6" s="36" t="s">
        <v>40</v>
      </c>
      <c r="K6" s="36" t="s">
        <v>40</v>
      </c>
      <c r="L6" s="36" t="s">
        <v>40</v>
      </c>
      <c r="M6" s="175" t="s">
        <v>50</v>
      </c>
      <c r="N6" s="173" t="s">
        <v>40</v>
      </c>
      <c r="O6" s="169" t="s">
        <v>42</v>
      </c>
      <c r="P6" s="73" t="s">
        <v>45</v>
      </c>
      <c r="Q6" s="73" t="s">
        <v>52</v>
      </c>
      <c r="R6" s="73" t="s">
        <v>61</v>
      </c>
    </row>
    <row r="7" spans="1:18" ht="13.5" thickBot="1">
      <c r="A7" s="5" t="s">
        <v>2</v>
      </c>
      <c r="B7" s="51">
        <v>1</v>
      </c>
      <c r="C7" s="36">
        <v>2</v>
      </c>
      <c r="D7" s="36">
        <v>3</v>
      </c>
      <c r="E7" s="36">
        <v>4</v>
      </c>
      <c r="F7" s="36"/>
      <c r="G7" s="36">
        <v>1</v>
      </c>
      <c r="H7" s="36">
        <v>1</v>
      </c>
      <c r="I7" s="36">
        <v>1</v>
      </c>
      <c r="J7" s="36">
        <v>2</v>
      </c>
      <c r="K7" s="36">
        <v>3</v>
      </c>
      <c r="L7" s="36">
        <v>4</v>
      </c>
      <c r="M7" s="36" t="s">
        <v>33</v>
      </c>
      <c r="N7" s="173">
        <v>5</v>
      </c>
      <c r="O7" s="50" t="s">
        <v>54</v>
      </c>
      <c r="P7" s="50" t="s">
        <v>55</v>
      </c>
      <c r="Q7" s="50" t="s">
        <v>35</v>
      </c>
      <c r="R7" s="50" t="s">
        <v>36</v>
      </c>
    </row>
    <row r="8" spans="1:18" ht="12.75">
      <c r="A8" s="90" t="s">
        <v>38</v>
      </c>
      <c r="B8" s="89"/>
      <c r="C8" s="35"/>
      <c r="D8" s="35"/>
      <c r="E8" s="78"/>
      <c r="F8" s="101">
        <f>F9+F12</f>
        <v>592781</v>
      </c>
      <c r="G8" s="102">
        <f>G9+G12+G13+G14+G15</f>
        <v>576848</v>
      </c>
      <c r="H8" s="102">
        <f>H9+H12+H13+H14+H15</f>
        <v>991928</v>
      </c>
      <c r="I8" s="102">
        <f>I9+I12+I13+I14+I15</f>
        <v>1107956</v>
      </c>
      <c r="J8" s="102">
        <f>J9+J11+J12+J13+J14+J15</f>
        <v>1194908</v>
      </c>
      <c r="K8" s="102">
        <f>K9+K11+K12+K13+K14+K15</f>
        <v>1165700</v>
      </c>
      <c r="L8" s="102">
        <f>L9+L11+L12+L13+L14+L15</f>
        <v>1352535.04</v>
      </c>
      <c r="M8" s="176">
        <f>H8/G8*100</f>
        <v>171.95656394752172</v>
      </c>
      <c r="N8" s="197">
        <f>N9+N11+N12+N13+N14+N15</f>
        <v>1322064</v>
      </c>
      <c r="O8" s="103">
        <f>J8/I8*100</f>
        <v>107.84796508164585</v>
      </c>
      <c r="P8" s="103">
        <f>K8/J8*100</f>
        <v>97.55562771359804</v>
      </c>
      <c r="Q8" s="103">
        <f>L8/K8*100</f>
        <v>116.02771210431501</v>
      </c>
      <c r="R8" s="103">
        <f>N8/L8*100</f>
        <v>97.74711640742409</v>
      </c>
    </row>
    <row r="9" spans="1:18" ht="12.75">
      <c r="A9" s="135" t="s">
        <v>56</v>
      </c>
      <c r="B9" s="94"/>
      <c r="C9" s="95"/>
      <c r="D9" s="95"/>
      <c r="E9" s="96"/>
      <c r="F9" s="97">
        <v>0</v>
      </c>
      <c r="G9" s="98"/>
      <c r="H9" s="98"/>
      <c r="I9" s="98"/>
      <c r="J9" s="98"/>
      <c r="K9" s="98"/>
      <c r="L9" s="98">
        <v>0</v>
      </c>
      <c r="M9" s="98"/>
      <c r="N9" s="177"/>
      <c r="O9" s="104"/>
      <c r="P9" s="104"/>
      <c r="Q9" s="104"/>
      <c r="R9" s="104"/>
    </row>
    <row r="10" spans="1:18" ht="12.75">
      <c r="A10" s="142" t="s">
        <v>53</v>
      </c>
      <c r="B10" s="89"/>
      <c r="C10" s="35"/>
      <c r="D10" s="35"/>
      <c r="E10" s="78"/>
      <c r="F10" s="125"/>
      <c r="G10" s="59"/>
      <c r="H10" s="59"/>
      <c r="I10" s="59"/>
      <c r="J10" s="59"/>
      <c r="K10" s="59"/>
      <c r="L10" s="59"/>
      <c r="M10" s="194"/>
      <c r="N10" s="195"/>
      <c r="O10" s="113"/>
      <c r="P10" s="113"/>
      <c r="Q10" s="113"/>
      <c r="R10" s="113"/>
    </row>
    <row r="11" spans="1:18" ht="12.75">
      <c r="A11" s="142" t="s">
        <v>57</v>
      </c>
      <c r="B11" s="89"/>
      <c r="C11" s="35"/>
      <c r="D11" s="35"/>
      <c r="E11" s="78"/>
      <c r="F11" s="125"/>
      <c r="G11" s="59"/>
      <c r="H11" s="59"/>
      <c r="I11" s="59"/>
      <c r="J11" s="59"/>
      <c r="K11" s="59"/>
      <c r="L11" s="59">
        <v>3766</v>
      </c>
      <c r="M11" s="194"/>
      <c r="N11" s="195">
        <v>9425</v>
      </c>
      <c r="O11" s="113"/>
      <c r="P11" s="113"/>
      <c r="Q11" s="113"/>
      <c r="R11" s="113">
        <f aca="true" t="shared" si="0" ref="R11:R46">N11/L11*100</f>
        <v>250.26553372278278</v>
      </c>
    </row>
    <row r="12" spans="1:18" ht="12.75">
      <c r="A12" s="149" t="s">
        <v>46</v>
      </c>
      <c r="B12" s="107"/>
      <c r="C12" s="108"/>
      <c r="D12" s="114" t="s">
        <v>37</v>
      </c>
      <c r="E12" s="109"/>
      <c r="F12" s="109">
        <v>592781</v>
      </c>
      <c r="G12" s="59">
        <v>519893</v>
      </c>
      <c r="H12" s="59">
        <v>804174</v>
      </c>
      <c r="I12" s="59">
        <v>1058401</v>
      </c>
      <c r="J12" s="59">
        <v>1092173</v>
      </c>
      <c r="K12" s="59">
        <v>1163748</v>
      </c>
      <c r="L12" s="59">
        <f>136753.8+964625.24+29085+2999+258+206096+5275</f>
        <v>1345092.04</v>
      </c>
      <c r="M12" s="194">
        <f aca="true" t="shared" si="1" ref="M12:M46">H12/G12*100</f>
        <v>154.68067467728937</v>
      </c>
      <c r="N12" s="195">
        <f>5+53501+865334+198677+2822-1101+181818+7695</f>
        <v>1308751</v>
      </c>
      <c r="O12" s="113">
        <f aca="true" t="shared" si="2" ref="O12:O46">J12/I12*100</f>
        <v>103.19085110463804</v>
      </c>
      <c r="P12" s="113">
        <f aca="true" t="shared" si="3" ref="P12:P46">K12/J12*100</f>
        <v>106.55344894993742</v>
      </c>
      <c r="Q12" s="113">
        <f aca="true" t="shared" si="4" ref="Q12:Q46">L12/K12*100</f>
        <v>115.58275846660962</v>
      </c>
      <c r="R12" s="113">
        <f t="shared" si="0"/>
        <v>97.2982488246678</v>
      </c>
    </row>
    <row r="13" spans="1:18" ht="12.75">
      <c r="A13" s="106" t="s">
        <v>43</v>
      </c>
      <c r="B13" s="107"/>
      <c r="C13" s="108"/>
      <c r="D13" s="114"/>
      <c r="E13" s="109"/>
      <c r="F13" s="109"/>
      <c r="G13" s="59">
        <v>56955</v>
      </c>
      <c r="H13" s="59">
        <v>187754</v>
      </c>
      <c r="I13" s="59">
        <v>49555</v>
      </c>
      <c r="J13" s="59">
        <v>102735</v>
      </c>
      <c r="K13" s="59">
        <v>1952</v>
      </c>
      <c r="L13" s="59">
        <v>3677</v>
      </c>
      <c r="M13" s="194">
        <f t="shared" si="1"/>
        <v>329.65323501009567</v>
      </c>
      <c r="N13" s="195">
        <v>3888</v>
      </c>
      <c r="O13" s="113">
        <f t="shared" si="2"/>
        <v>207.31510442942187</v>
      </c>
      <c r="P13" s="113">
        <f t="shared" si="3"/>
        <v>1.9000340682338055</v>
      </c>
      <c r="Q13" s="113">
        <f t="shared" si="4"/>
        <v>188.37090163934425</v>
      </c>
      <c r="R13" s="113">
        <f t="shared" si="0"/>
        <v>105.73837367419092</v>
      </c>
    </row>
    <row r="14" spans="1:18" ht="12.75">
      <c r="A14" s="106" t="s">
        <v>41</v>
      </c>
      <c r="B14" s="107"/>
      <c r="C14" s="108"/>
      <c r="D14" s="114"/>
      <c r="E14" s="109"/>
      <c r="F14" s="109"/>
      <c r="G14" s="59"/>
      <c r="H14" s="59"/>
      <c r="I14" s="59"/>
      <c r="J14" s="59"/>
      <c r="K14" s="59"/>
      <c r="L14" s="59"/>
      <c r="M14" s="194"/>
      <c r="N14" s="195"/>
      <c r="O14" s="113"/>
      <c r="P14" s="113"/>
      <c r="Q14" s="113"/>
      <c r="R14" s="113"/>
    </row>
    <row r="15" spans="1:18" ht="13.5" thickBot="1">
      <c r="A15" s="21" t="s">
        <v>47</v>
      </c>
      <c r="B15" s="91"/>
      <c r="C15" s="92"/>
      <c r="D15" s="93"/>
      <c r="E15" s="22"/>
      <c r="F15" s="22"/>
      <c r="G15" s="26"/>
      <c r="H15" s="26"/>
      <c r="I15" s="26"/>
      <c r="J15" s="26"/>
      <c r="K15" s="26"/>
      <c r="L15" s="26"/>
      <c r="M15" s="188"/>
      <c r="N15" s="196"/>
      <c r="O15" s="105"/>
      <c r="P15" s="105"/>
      <c r="Q15" s="105"/>
      <c r="R15" s="105"/>
    </row>
    <row r="16" spans="1:18" ht="12.75">
      <c r="A16" s="6" t="s">
        <v>3</v>
      </c>
      <c r="B16" s="42">
        <f aca="true" t="shared" si="5" ref="B16:K16">B18+B24</f>
        <v>0</v>
      </c>
      <c r="C16" s="38">
        <f t="shared" si="5"/>
        <v>0</v>
      </c>
      <c r="D16" s="38">
        <f t="shared" si="5"/>
        <v>106702</v>
      </c>
      <c r="E16" s="7">
        <f t="shared" si="5"/>
        <v>1639374</v>
      </c>
      <c r="F16" s="7">
        <f t="shared" si="5"/>
        <v>1511642</v>
      </c>
      <c r="G16" s="38">
        <f t="shared" si="5"/>
        <v>1783580</v>
      </c>
      <c r="H16" s="38">
        <f t="shared" si="5"/>
        <v>1919410</v>
      </c>
      <c r="I16" s="38">
        <f t="shared" si="5"/>
        <v>1945561</v>
      </c>
      <c r="J16" s="38">
        <f>J18+J24</f>
        <v>1812848</v>
      </c>
      <c r="K16" s="38">
        <f t="shared" si="5"/>
        <v>1895330</v>
      </c>
      <c r="L16" s="38">
        <f>L18+L24</f>
        <v>1627668</v>
      </c>
      <c r="M16" s="181">
        <f t="shared" si="1"/>
        <v>107.61558214377824</v>
      </c>
      <c r="N16" s="198">
        <f>N18+N24</f>
        <v>1526361</v>
      </c>
      <c r="O16" s="65">
        <f t="shared" si="2"/>
        <v>93.17867699856237</v>
      </c>
      <c r="P16" s="129">
        <f t="shared" si="3"/>
        <v>104.54985746185008</v>
      </c>
      <c r="Q16" s="129">
        <f t="shared" si="4"/>
        <v>85.87781547276727</v>
      </c>
      <c r="R16" s="129">
        <f t="shared" si="0"/>
        <v>93.77594202257463</v>
      </c>
    </row>
    <row r="17" spans="1:18" ht="12.75">
      <c r="A17" s="8" t="s">
        <v>4</v>
      </c>
      <c r="B17" s="30"/>
      <c r="C17" s="53"/>
      <c r="D17" s="18"/>
      <c r="E17" s="9"/>
      <c r="F17" s="9"/>
      <c r="G17" s="18"/>
      <c r="H17" s="18"/>
      <c r="I17" s="18"/>
      <c r="J17" s="18"/>
      <c r="K17" s="18"/>
      <c r="L17" s="18"/>
      <c r="M17" s="18"/>
      <c r="N17" s="182"/>
      <c r="O17" s="66"/>
      <c r="P17" s="130"/>
      <c r="Q17" s="130"/>
      <c r="R17" s="130"/>
    </row>
    <row r="18" spans="1:18" ht="12.75">
      <c r="A18" s="6" t="s">
        <v>5</v>
      </c>
      <c r="B18" s="42">
        <f aca="true" t="shared" si="6" ref="B18:K18">B20+B21+B22</f>
        <v>0</v>
      </c>
      <c r="C18" s="54">
        <f t="shared" si="6"/>
        <v>0</v>
      </c>
      <c r="D18" s="38">
        <f t="shared" si="6"/>
        <v>13435</v>
      </c>
      <c r="E18" s="7">
        <f t="shared" si="6"/>
        <v>56763</v>
      </c>
      <c r="F18" s="7">
        <f t="shared" si="6"/>
        <v>130060</v>
      </c>
      <c r="G18" s="38">
        <f t="shared" si="6"/>
        <v>300428</v>
      </c>
      <c r="H18" s="38">
        <f t="shared" si="6"/>
        <v>298952</v>
      </c>
      <c r="I18" s="38">
        <f t="shared" si="6"/>
        <v>204705</v>
      </c>
      <c r="J18" s="38">
        <f>J20+J21+J22</f>
        <v>111628</v>
      </c>
      <c r="K18" s="38">
        <f t="shared" si="6"/>
        <v>141808</v>
      </c>
      <c r="L18" s="38">
        <f>L20+L21+L22</f>
        <v>125132</v>
      </c>
      <c r="M18" s="181">
        <f t="shared" si="1"/>
        <v>99.50870092002077</v>
      </c>
      <c r="N18" s="198">
        <f>N20+N21+N22</f>
        <v>136538</v>
      </c>
      <c r="O18" s="65">
        <f t="shared" si="2"/>
        <v>54.53115458831</v>
      </c>
      <c r="P18" s="129">
        <f t="shared" si="3"/>
        <v>127.03622746981044</v>
      </c>
      <c r="Q18" s="129">
        <f t="shared" si="4"/>
        <v>88.24043777501974</v>
      </c>
      <c r="R18" s="129">
        <f t="shared" si="0"/>
        <v>109.1151743758591</v>
      </c>
    </row>
    <row r="19" spans="1:18" ht="12.75">
      <c r="A19" s="8" t="s">
        <v>6</v>
      </c>
      <c r="B19" s="30"/>
      <c r="C19" s="55"/>
      <c r="D19" s="18"/>
      <c r="E19" s="9"/>
      <c r="F19" s="9"/>
      <c r="G19" s="18"/>
      <c r="H19" s="18"/>
      <c r="I19" s="18"/>
      <c r="J19" s="18"/>
      <c r="K19" s="18"/>
      <c r="L19" s="18"/>
      <c r="M19" s="18"/>
      <c r="N19" s="182"/>
      <c r="O19" s="66"/>
      <c r="P19" s="130"/>
      <c r="Q19" s="130"/>
      <c r="R19" s="130"/>
    </row>
    <row r="20" spans="1:18" ht="12.75">
      <c r="A20" s="8" t="s">
        <v>7</v>
      </c>
      <c r="B20" s="30"/>
      <c r="C20" s="53"/>
      <c r="D20" s="18">
        <v>2263</v>
      </c>
      <c r="E20" s="9">
        <v>4390</v>
      </c>
      <c r="F20" s="9">
        <v>13580</v>
      </c>
      <c r="G20" s="9">
        <v>123109</v>
      </c>
      <c r="H20" s="9">
        <v>101866</v>
      </c>
      <c r="I20" s="9">
        <v>67704</v>
      </c>
      <c r="J20" s="9">
        <v>34307</v>
      </c>
      <c r="K20" s="9">
        <v>49501</v>
      </c>
      <c r="L20" s="18">
        <v>87723</v>
      </c>
      <c r="M20" s="64">
        <f t="shared" si="1"/>
        <v>82.74455969912842</v>
      </c>
      <c r="N20" s="182">
        <v>99499</v>
      </c>
      <c r="O20" s="66">
        <f t="shared" si="2"/>
        <v>50.67204301075269</v>
      </c>
      <c r="P20" s="130">
        <f t="shared" si="3"/>
        <v>144.2883376570379</v>
      </c>
      <c r="Q20" s="130">
        <f t="shared" si="4"/>
        <v>177.21460172521768</v>
      </c>
      <c r="R20" s="130">
        <f t="shared" si="0"/>
        <v>113.42407350409813</v>
      </c>
    </row>
    <row r="21" spans="1:18" ht="12.75">
      <c r="A21" s="8" t="s">
        <v>8</v>
      </c>
      <c r="B21" s="30"/>
      <c r="C21" s="53"/>
      <c r="D21" s="18">
        <v>11172</v>
      </c>
      <c r="E21" s="9">
        <v>50272</v>
      </c>
      <c r="F21" s="9">
        <f>93329</f>
        <v>93329</v>
      </c>
      <c r="G21" s="9">
        <v>59612</v>
      </c>
      <c r="H21" s="9">
        <v>68009</v>
      </c>
      <c r="I21" s="9">
        <v>80566</v>
      </c>
      <c r="J21" s="9">
        <v>77215</v>
      </c>
      <c r="K21" s="9">
        <v>85995</v>
      </c>
      <c r="L21" s="18">
        <v>36288</v>
      </c>
      <c r="M21" s="64">
        <f t="shared" si="1"/>
        <v>114.08609004898342</v>
      </c>
      <c r="N21" s="182">
        <v>37039</v>
      </c>
      <c r="O21" s="66">
        <f t="shared" si="2"/>
        <v>95.8406772087481</v>
      </c>
      <c r="P21" s="130">
        <f t="shared" si="3"/>
        <v>111.37084763323189</v>
      </c>
      <c r="Q21" s="130">
        <f t="shared" si="4"/>
        <v>42.1978021978022</v>
      </c>
      <c r="R21" s="130">
        <f t="shared" si="0"/>
        <v>102.06955467372134</v>
      </c>
    </row>
    <row r="22" spans="1:18" ht="12.75">
      <c r="A22" s="12" t="s">
        <v>9</v>
      </c>
      <c r="B22" s="43"/>
      <c r="C22" s="56"/>
      <c r="D22" s="39"/>
      <c r="E22" s="13">
        <v>2101</v>
      </c>
      <c r="F22" s="86">
        <v>23151</v>
      </c>
      <c r="G22" s="13">
        <v>117707</v>
      </c>
      <c r="H22" s="13">
        <v>129077</v>
      </c>
      <c r="I22" s="13">
        <v>56435</v>
      </c>
      <c r="J22" s="39">
        <v>106</v>
      </c>
      <c r="K22" s="39">
        <v>6312</v>
      </c>
      <c r="L22" s="39">
        <v>1121</v>
      </c>
      <c r="M22" s="39">
        <f t="shared" si="1"/>
        <v>109.65957844478238</v>
      </c>
      <c r="N22" s="183"/>
      <c r="O22" s="72">
        <f t="shared" si="2"/>
        <v>0.1878267032869673</v>
      </c>
      <c r="P22" s="134">
        <f t="shared" si="3"/>
        <v>5954.7169811320755</v>
      </c>
      <c r="Q22" s="134">
        <f t="shared" si="4"/>
        <v>17.759822560202785</v>
      </c>
      <c r="R22" s="134">
        <f t="shared" si="0"/>
        <v>0</v>
      </c>
    </row>
    <row r="23" spans="1:18" ht="2.25" customHeight="1">
      <c r="A23" s="4"/>
      <c r="B23" s="24"/>
      <c r="C23" s="25"/>
      <c r="D23" s="37"/>
      <c r="E23" s="11"/>
      <c r="F23" s="11"/>
      <c r="G23" s="37"/>
      <c r="H23" s="37"/>
      <c r="I23" s="37"/>
      <c r="J23" s="37"/>
      <c r="K23" s="37"/>
      <c r="L23" s="37"/>
      <c r="M23" s="37"/>
      <c r="N23" s="184"/>
      <c r="O23" s="70" t="e">
        <f t="shared" si="2"/>
        <v>#DIV/0!</v>
      </c>
      <c r="P23" s="126" t="e">
        <f t="shared" si="3"/>
        <v>#DIV/0!</v>
      </c>
      <c r="Q23" s="126" t="e">
        <f t="shared" si="4"/>
        <v>#DIV/0!</v>
      </c>
      <c r="R23" s="126" t="e">
        <f t="shared" si="0"/>
        <v>#DIV/0!</v>
      </c>
    </row>
    <row r="24" spans="1:18" ht="12.75">
      <c r="A24" s="6" t="s">
        <v>10</v>
      </c>
      <c r="B24" s="42">
        <f aca="true" t="shared" si="7" ref="B24:K24">B26+B29+B30+B31+B32</f>
        <v>0</v>
      </c>
      <c r="C24" s="38">
        <f t="shared" si="7"/>
        <v>0</v>
      </c>
      <c r="D24" s="38">
        <f t="shared" si="7"/>
        <v>93267</v>
      </c>
      <c r="E24" s="7">
        <f t="shared" si="7"/>
        <v>1582611</v>
      </c>
      <c r="F24" s="7">
        <f t="shared" si="7"/>
        <v>1381582</v>
      </c>
      <c r="G24" s="38">
        <f t="shared" si="7"/>
        <v>1483152</v>
      </c>
      <c r="H24" s="38">
        <f t="shared" si="7"/>
        <v>1620458</v>
      </c>
      <c r="I24" s="38">
        <f t="shared" si="7"/>
        <v>1740856</v>
      </c>
      <c r="J24" s="38">
        <f>J26+J29+J30+J31+J32</f>
        <v>1701220</v>
      </c>
      <c r="K24" s="38">
        <f t="shared" si="7"/>
        <v>1753522</v>
      </c>
      <c r="L24" s="38">
        <f>L26+L29+L30+L31+L32</f>
        <v>1502536</v>
      </c>
      <c r="M24" s="181">
        <f t="shared" si="1"/>
        <v>109.25771599943903</v>
      </c>
      <c r="N24" s="198">
        <f>N26+N29+N30+N31+N32</f>
        <v>1389823</v>
      </c>
      <c r="O24" s="65">
        <f t="shared" si="2"/>
        <v>97.72318905182277</v>
      </c>
      <c r="P24" s="129">
        <f t="shared" si="3"/>
        <v>103.07438191415572</v>
      </c>
      <c r="Q24" s="129">
        <f t="shared" si="4"/>
        <v>85.68674929655859</v>
      </c>
      <c r="R24" s="129">
        <f t="shared" si="0"/>
        <v>92.49848256547597</v>
      </c>
    </row>
    <row r="25" spans="1:18" ht="12.75">
      <c r="A25" s="8" t="s">
        <v>6</v>
      </c>
      <c r="B25" s="30"/>
      <c r="C25" s="53"/>
      <c r="D25" s="18"/>
      <c r="E25" s="9"/>
      <c r="F25" s="9"/>
      <c r="G25" s="18"/>
      <c r="H25" s="18"/>
      <c r="I25" s="18"/>
      <c r="J25" s="18"/>
      <c r="K25" s="18"/>
      <c r="L25" s="18"/>
      <c r="M25" s="64"/>
      <c r="N25" s="182"/>
      <c r="O25" s="66"/>
      <c r="P25" s="130"/>
      <c r="Q25" s="130"/>
      <c r="R25" s="130"/>
    </row>
    <row r="26" spans="1:18" ht="12.75">
      <c r="A26" s="14" t="s">
        <v>11</v>
      </c>
      <c r="B26" s="44"/>
      <c r="C26" s="57"/>
      <c r="D26" s="40">
        <f aca="true" t="shared" si="8" ref="D26:K26">D27+D28</f>
        <v>46622</v>
      </c>
      <c r="E26" s="15">
        <f t="shared" si="8"/>
        <v>753625</v>
      </c>
      <c r="F26" s="15">
        <f t="shared" si="8"/>
        <v>550164</v>
      </c>
      <c r="G26" s="40">
        <f t="shared" si="8"/>
        <v>567780</v>
      </c>
      <c r="H26" s="40">
        <f t="shared" si="8"/>
        <v>596495</v>
      </c>
      <c r="I26" s="40">
        <f t="shared" si="8"/>
        <v>616497</v>
      </c>
      <c r="J26" s="40">
        <f>J27+J28</f>
        <v>631435</v>
      </c>
      <c r="K26" s="40">
        <f t="shared" si="8"/>
        <v>672638</v>
      </c>
      <c r="L26" s="40">
        <f>L27+L28</f>
        <v>656491</v>
      </c>
      <c r="M26" s="185">
        <f t="shared" si="1"/>
        <v>105.05741660502308</v>
      </c>
      <c r="N26" s="199">
        <f>N27+N28</f>
        <v>599731</v>
      </c>
      <c r="O26" s="67">
        <f t="shared" si="2"/>
        <v>102.42304504320379</v>
      </c>
      <c r="P26" s="131">
        <f t="shared" si="3"/>
        <v>106.5252955569457</v>
      </c>
      <c r="Q26" s="131">
        <f t="shared" si="4"/>
        <v>97.59945171102436</v>
      </c>
      <c r="R26" s="131">
        <f t="shared" si="0"/>
        <v>91.35403227157722</v>
      </c>
    </row>
    <row r="27" spans="1:18" ht="12.75">
      <c r="A27" s="8" t="s">
        <v>12</v>
      </c>
      <c r="B27" s="30"/>
      <c r="C27" s="53"/>
      <c r="D27" s="18">
        <v>45357</v>
      </c>
      <c r="E27" s="9">
        <v>705309</v>
      </c>
      <c r="F27" s="87">
        <v>541295</v>
      </c>
      <c r="G27" s="9">
        <v>561834</v>
      </c>
      <c r="H27" s="9">
        <v>591486</v>
      </c>
      <c r="I27" s="9">
        <v>610843</v>
      </c>
      <c r="J27" s="9">
        <v>626145</v>
      </c>
      <c r="K27" s="9">
        <v>664701</v>
      </c>
      <c r="L27" s="18">
        <v>642466</v>
      </c>
      <c r="M27" s="64">
        <f t="shared" si="1"/>
        <v>105.27771548179712</v>
      </c>
      <c r="N27" s="182">
        <v>592787</v>
      </c>
      <c r="O27" s="66">
        <f t="shared" si="2"/>
        <v>102.50506267567934</v>
      </c>
      <c r="P27" s="130">
        <f t="shared" si="3"/>
        <v>106.15767913183049</v>
      </c>
      <c r="Q27" s="130">
        <f t="shared" si="4"/>
        <v>96.65488693412527</v>
      </c>
      <c r="R27" s="130">
        <f t="shared" si="0"/>
        <v>92.26745072891018</v>
      </c>
    </row>
    <row r="28" spans="1:18" ht="12.75">
      <c r="A28" s="23" t="s">
        <v>13</v>
      </c>
      <c r="B28" s="52"/>
      <c r="C28" s="63"/>
      <c r="D28" s="18">
        <v>1265</v>
      </c>
      <c r="E28" s="9">
        <v>48316</v>
      </c>
      <c r="F28" s="9">
        <f>8868+1</f>
        <v>8869</v>
      </c>
      <c r="G28" s="9">
        <v>5946</v>
      </c>
      <c r="H28" s="9">
        <v>5009</v>
      </c>
      <c r="I28" s="9">
        <v>5654</v>
      </c>
      <c r="J28" s="9">
        <v>5290</v>
      </c>
      <c r="K28" s="9">
        <v>7937</v>
      </c>
      <c r="L28" s="18">
        <v>14025</v>
      </c>
      <c r="M28" s="64">
        <f t="shared" si="1"/>
        <v>84.24150689539186</v>
      </c>
      <c r="N28" s="182">
        <v>6944</v>
      </c>
      <c r="O28" s="66">
        <f t="shared" si="2"/>
        <v>93.56207994340289</v>
      </c>
      <c r="P28" s="130">
        <f t="shared" si="3"/>
        <v>150.03780718336483</v>
      </c>
      <c r="Q28" s="130">
        <f t="shared" si="4"/>
        <v>176.70404434925035</v>
      </c>
      <c r="R28" s="130">
        <f t="shared" si="0"/>
        <v>49.51158645276293</v>
      </c>
    </row>
    <row r="29" spans="1:18" ht="12.75">
      <c r="A29" s="16" t="s">
        <v>14</v>
      </c>
      <c r="B29" s="45"/>
      <c r="C29" s="58"/>
      <c r="D29" s="41">
        <v>16267</v>
      </c>
      <c r="E29" s="17">
        <v>254891</v>
      </c>
      <c r="F29" s="15">
        <v>189520</v>
      </c>
      <c r="G29" s="17">
        <v>197636</v>
      </c>
      <c r="H29" s="17">
        <v>207753</v>
      </c>
      <c r="I29" s="17">
        <v>215095</v>
      </c>
      <c r="J29" s="17">
        <v>219551</v>
      </c>
      <c r="K29" s="17">
        <v>226222</v>
      </c>
      <c r="L29" s="41">
        <v>219258</v>
      </c>
      <c r="M29" s="186">
        <f t="shared" si="1"/>
        <v>105.1190066587059</v>
      </c>
      <c r="N29" s="200">
        <v>203045</v>
      </c>
      <c r="O29" s="68">
        <f t="shared" si="2"/>
        <v>102.07164276250029</v>
      </c>
      <c r="P29" s="132">
        <f t="shared" si="3"/>
        <v>103.03847397643374</v>
      </c>
      <c r="Q29" s="132">
        <f t="shared" si="4"/>
        <v>96.9216079780039</v>
      </c>
      <c r="R29" s="132">
        <f t="shared" si="0"/>
        <v>92.60551496410622</v>
      </c>
    </row>
    <row r="30" spans="1:18" ht="12.75">
      <c r="A30" s="16" t="s">
        <v>15</v>
      </c>
      <c r="B30" s="45"/>
      <c r="C30" s="58"/>
      <c r="D30" s="41">
        <v>910</v>
      </c>
      <c r="E30" s="17">
        <v>14085</v>
      </c>
      <c r="F30" s="15">
        <v>11038</v>
      </c>
      <c r="G30" s="17">
        <v>12477</v>
      </c>
      <c r="H30" s="17">
        <v>12535</v>
      </c>
      <c r="I30" s="17">
        <v>13529</v>
      </c>
      <c r="J30" s="17">
        <v>13260</v>
      </c>
      <c r="K30" s="17">
        <v>14326</v>
      </c>
      <c r="L30" s="41">
        <v>12976</v>
      </c>
      <c r="M30" s="186">
        <f t="shared" si="1"/>
        <v>100.46485533381421</v>
      </c>
      <c r="N30" s="200">
        <v>6026</v>
      </c>
      <c r="O30" s="68">
        <f t="shared" si="2"/>
        <v>98.01167861630572</v>
      </c>
      <c r="P30" s="132">
        <f t="shared" si="3"/>
        <v>108.0392156862745</v>
      </c>
      <c r="Q30" s="132">
        <f t="shared" si="4"/>
        <v>90.57657406114757</v>
      </c>
      <c r="R30" s="132">
        <f t="shared" si="0"/>
        <v>46.439580764488284</v>
      </c>
    </row>
    <row r="31" spans="1:18" ht="12.75">
      <c r="A31" s="14" t="s">
        <v>16</v>
      </c>
      <c r="B31" s="44"/>
      <c r="C31" s="57"/>
      <c r="D31" s="41">
        <v>0</v>
      </c>
      <c r="E31" s="17">
        <v>0</v>
      </c>
      <c r="F31" s="17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40">
        <v>0</v>
      </c>
      <c r="M31" s="185"/>
      <c r="N31" s="199">
        <v>0</v>
      </c>
      <c r="O31" s="68"/>
      <c r="P31" s="132"/>
      <c r="Q31" s="132"/>
      <c r="R31" s="132"/>
    </row>
    <row r="32" spans="1:18" ht="12.75">
      <c r="A32" s="14" t="s">
        <v>17</v>
      </c>
      <c r="B32" s="44">
        <f aca="true" t="shared" si="9" ref="B32:K32">B34+B35+B36+B38+B42</f>
        <v>0</v>
      </c>
      <c r="C32" s="57">
        <f t="shared" si="9"/>
        <v>0</v>
      </c>
      <c r="D32" s="40">
        <f t="shared" si="9"/>
        <v>29468</v>
      </c>
      <c r="E32" s="15">
        <f t="shared" si="9"/>
        <v>560010</v>
      </c>
      <c r="F32" s="15">
        <f t="shared" si="9"/>
        <v>630860</v>
      </c>
      <c r="G32" s="40">
        <f t="shared" si="9"/>
        <v>705259</v>
      </c>
      <c r="H32" s="40">
        <f t="shared" si="9"/>
        <v>803675</v>
      </c>
      <c r="I32" s="40">
        <f t="shared" si="9"/>
        <v>895735</v>
      </c>
      <c r="J32" s="40">
        <f>J34+J35+J36+J38+J42</f>
        <v>836974</v>
      </c>
      <c r="K32" s="40">
        <f t="shared" si="9"/>
        <v>840336</v>
      </c>
      <c r="L32" s="40">
        <f>L34+L35+L36+L38+L42</f>
        <v>613811</v>
      </c>
      <c r="M32" s="185">
        <f t="shared" si="1"/>
        <v>113.95458973228274</v>
      </c>
      <c r="N32" s="199">
        <f>N34+N35+N36+N38+N42</f>
        <v>581021</v>
      </c>
      <c r="O32" s="67">
        <f t="shared" si="2"/>
        <v>93.43991247411344</v>
      </c>
      <c r="P32" s="131">
        <f t="shared" si="3"/>
        <v>100.40168511805622</v>
      </c>
      <c r="Q32" s="131">
        <f t="shared" si="4"/>
        <v>73.04352068696332</v>
      </c>
      <c r="R32" s="131">
        <f t="shared" si="0"/>
        <v>94.65796474810651</v>
      </c>
    </row>
    <row r="33" spans="1:18" ht="12.75">
      <c r="A33" s="8" t="s">
        <v>18</v>
      </c>
      <c r="B33" s="30"/>
      <c r="C33" s="53"/>
      <c r="D33" s="18"/>
      <c r="E33" s="9"/>
      <c r="F33" s="9"/>
      <c r="G33" s="18"/>
      <c r="H33" s="18"/>
      <c r="I33" s="18"/>
      <c r="J33" s="18"/>
      <c r="K33" s="18"/>
      <c r="L33" s="18"/>
      <c r="M33" s="64"/>
      <c r="N33" s="182"/>
      <c r="O33" s="66"/>
      <c r="P33" s="130"/>
      <c r="Q33" s="130"/>
      <c r="R33" s="130"/>
    </row>
    <row r="34" spans="1:19" ht="12.75">
      <c r="A34" s="8" t="s">
        <v>19</v>
      </c>
      <c r="B34" s="30"/>
      <c r="C34" s="27"/>
      <c r="D34" s="9">
        <v>8298</v>
      </c>
      <c r="E34" s="9">
        <v>59055</v>
      </c>
      <c r="F34" s="9">
        <v>65748</v>
      </c>
      <c r="G34" s="9">
        <v>50917</v>
      </c>
      <c r="H34" s="9">
        <v>38895</v>
      </c>
      <c r="I34" s="9">
        <v>33297</v>
      </c>
      <c r="J34" s="9">
        <v>36623</v>
      </c>
      <c r="K34" s="9">
        <v>37571</v>
      </c>
      <c r="L34" s="18">
        <v>28303</v>
      </c>
      <c r="M34" s="64">
        <f t="shared" si="1"/>
        <v>76.38902527643026</v>
      </c>
      <c r="N34" s="182">
        <v>23362</v>
      </c>
      <c r="O34" s="66">
        <f t="shared" si="2"/>
        <v>109.9888878877977</v>
      </c>
      <c r="P34" s="130">
        <f t="shared" si="3"/>
        <v>102.58853725800728</v>
      </c>
      <c r="Q34" s="130">
        <f t="shared" si="4"/>
        <v>75.33203800803811</v>
      </c>
      <c r="R34" s="130">
        <f t="shared" si="0"/>
        <v>82.54248666219128</v>
      </c>
      <c r="S34" s="20"/>
    </row>
    <row r="35" spans="1:18" ht="12.75">
      <c r="A35" s="8" t="s">
        <v>20</v>
      </c>
      <c r="B35" s="30"/>
      <c r="C35" s="27"/>
      <c r="D35" s="9">
        <v>629</v>
      </c>
      <c r="E35" s="9">
        <v>73055</v>
      </c>
      <c r="F35" s="9">
        <v>63842</v>
      </c>
      <c r="G35" s="9">
        <v>75800</v>
      </c>
      <c r="H35" s="9">
        <v>90961</v>
      </c>
      <c r="I35" s="9">
        <v>79430</v>
      </c>
      <c r="J35" s="9">
        <v>82264</v>
      </c>
      <c r="K35" s="9">
        <v>67344</v>
      </c>
      <c r="L35" s="18">
        <v>55907</v>
      </c>
      <c r="M35" s="64">
        <f t="shared" si="1"/>
        <v>120.00131926121371</v>
      </c>
      <c r="N35" s="182">
        <v>50147</v>
      </c>
      <c r="O35" s="66">
        <f t="shared" si="2"/>
        <v>103.56792144026186</v>
      </c>
      <c r="P35" s="130">
        <f t="shared" si="3"/>
        <v>81.86326947388895</v>
      </c>
      <c r="Q35" s="130">
        <f t="shared" si="4"/>
        <v>83.01704680446662</v>
      </c>
      <c r="R35" s="130">
        <f t="shared" si="0"/>
        <v>89.69717566673225</v>
      </c>
    </row>
    <row r="36" spans="1:18" ht="12.75">
      <c r="A36" s="8" t="s">
        <v>21</v>
      </c>
      <c r="B36" s="30"/>
      <c r="C36" s="27"/>
      <c r="D36" s="9">
        <v>11208</v>
      </c>
      <c r="E36" s="9">
        <v>203543</v>
      </c>
      <c r="F36" s="9">
        <v>220645</v>
      </c>
      <c r="G36" s="9">
        <v>258402</v>
      </c>
      <c r="H36" s="9">
        <v>324895</v>
      </c>
      <c r="I36" s="9">
        <v>409580</v>
      </c>
      <c r="J36" s="9">
        <v>532000</v>
      </c>
      <c r="K36" s="9">
        <v>549434</v>
      </c>
      <c r="L36" s="18">
        <v>458387</v>
      </c>
      <c r="M36" s="64">
        <f t="shared" si="1"/>
        <v>125.73238597224478</v>
      </c>
      <c r="N36" s="182">
        <v>414861</v>
      </c>
      <c r="O36" s="66">
        <f t="shared" si="2"/>
        <v>129.88915474388398</v>
      </c>
      <c r="P36" s="130">
        <f t="shared" si="3"/>
        <v>103.27706766917292</v>
      </c>
      <c r="Q36" s="130">
        <f t="shared" si="4"/>
        <v>83.42894687988002</v>
      </c>
      <c r="R36" s="130">
        <f t="shared" si="0"/>
        <v>90.50453001503097</v>
      </c>
    </row>
    <row r="37" spans="1:18" ht="12.75" hidden="1">
      <c r="A37" s="8" t="s">
        <v>22</v>
      </c>
      <c r="B37" s="30"/>
      <c r="C37" s="27"/>
      <c r="D37" s="9">
        <v>1058</v>
      </c>
      <c r="E37" s="9">
        <v>14784</v>
      </c>
      <c r="F37" s="9">
        <v>22828</v>
      </c>
      <c r="G37" s="9"/>
      <c r="H37" s="9"/>
      <c r="I37" s="9"/>
      <c r="J37" s="9"/>
      <c r="K37" s="9"/>
      <c r="L37" s="18"/>
      <c r="M37" s="64" t="e">
        <f t="shared" si="1"/>
        <v>#DIV/0!</v>
      </c>
      <c r="N37" s="182"/>
      <c r="O37" s="66" t="e">
        <f t="shared" si="2"/>
        <v>#DIV/0!</v>
      </c>
      <c r="P37" s="130" t="e">
        <f t="shared" si="3"/>
        <v>#DIV/0!</v>
      </c>
      <c r="Q37" s="130" t="e">
        <f t="shared" si="4"/>
        <v>#DIV/0!</v>
      </c>
      <c r="R37" s="130" t="e">
        <f t="shared" si="0"/>
        <v>#DIV/0!</v>
      </c>
    </row>
    <row r="38" spans="1:18" ht="12.75">
      <c r="A38" s="8" t="s">
        <v>23</v>
      </c>
      <c r="B38" s="30"/>
      <c r="C38" s="27"/>
      <c r="D38" s="9">
        <v>6056</v>
      </c>
      <c r="E38" s="9">
        <v>137568</v>
      </c>
      <c r="F38" s="9">
        <v>107151</v>
      </c>
      <c r="G38" s="9">
        <v>107269</v>
      </c>
      <c r="H38" s="9">
        <v>105892</v>
      </c>
      <c r="I38" s="9">
        <v>99291</v>
      </c>
      <c r="J38" s="9">
        <v>125693</v>
      </c>
      <c r="K38" s="9">
        <v>61380</v>
      </c>
      <c r="L38" s="18">
        <v>24688</v>
      </c>
      <c r="M38" s="64">
        <f t="shared" si="1"/>
        <v>98.71631132946145</v>
      </c>
      <c r="N38" s="182">
        <v>33955</v>
      </c>
      <c r="O38" s="66">
        <f t="shared" si="2"/>
        <v>126.59052683526201</v>
      </c>
      <c r="P38" s="130">
        <f t="shared" si="3"/>
        <v>48.833268360210994</v>
      </c>
      <c r="Q38" s="130">
        <f t="shared" si="4"/>
        <v>40.22157054415119</v>
      </c>
      <c r="R38" s="130">
        <f t="shared" si="0"/>
        <v>137.53645495787427</v>
      </c>
    </row>
    <row r="39" spans="1:18" ht="12.75" hidden="1">
      <c r="A39" s="8" t="s">
        <v>24</v>
      </c>
      <c r="B39" s="30"/>
      <c r="C39" s="27"/>
      <c r="D39" s="9">
        <v>4043</v>
      </c>
      <c r="E39" s="9">
        <v>115784</v>
      </c>
      <c r="F39" s="9">
        <v>85513</v>
      </c>
      <c r="G39" s="9"/>
      <c r="H39" s="9"/>
      <c r="I39" s="9"/>
      <c r="J39" s="9"/>
      <c r="K39" s="9"/>
      <c r="L39" s="18"/>
      <c r="M39" s="64" t="e">
        <f t="shared" si="1"/>
        <v>#DIV/0!</v>
      </c>
      <c r="N39" s="182"/>
      <c r="O39" s="66" t="e">
        <f t="shared" si="2"/>
        <v>#DIV/0!</v>
      </c>
      <c r="P39" s="130" t="e">
        <f t="shared" si="3"/>
        <v>#DIV/0!</v>
      </c>
      <c r="Q39" s="130" t="e">
        <f t="shared" si="4"/>
        <v>#DIV/0!</v>
      </c>
      <c r="R39" s="130" t="e">
        <f t="shared" si="0"/>
        <v>#DIV/0!</v>
      </c>
    </row>
    <row r="40" spans="1:18" ht="12.75" hidden="1">
      <c r="A40" s="8" t="s">
        <v>25</v>
      </c>
      <c r="B40" s="30"/>
      <c r="C40" s="27"/>
      <c r="D40" s="9">
        <v>1627</v>
      </c>
      <c r="E40" s="9">
        <v>19141</v>
      </c>
      <c r="F40" s="9">
        <v>17838</v>
      </c>
      <c r="G40" s="9"/>
      <c r="H40" s="9"/>
      <c r="I40" s="9"/>
      <c r="J40" s="9"/>
      <c r="K40" s="9"/>
      <c r="L40" s="18"/>
      <c r="M40" s="64" t="e">
        <f t="shared" si="1"/>
        <v>#DIV/0!</v>
      </c>
      <c r="N40" s="182"/>
      <c r="O40" s="66" t="e">
        <f t="shared" si="2"/>
        <v>#DIV/0!</v>
      </c>
      <c r="P40" s="130" t="e">
        <f t="shared" si="3"/>
        <v>#DIV/0!</v>
      </c>
      <c r="Q40" s="130" t="e">
        <f t="shared" si="4"/>
        <v>#DIV/0!</v>
      </c>
      <c r="R40" s="130" t="e">
        <f t="shared" si="0"/>
        <v>#DIV/0!</v>
      </c>
    </row>
    <row r="41" spans="1:18" ht="12.75" hidden="1">
      <c r="A41" s="8" t="s">
        <v>26</v>
      </c>
      <c r="B41" s="30"/>
      <c r="C41" s="27"/>
      <c r="D41" s="9">
        <v>276</v>
      </c>
      <c r="E41" s="9">
        <v>1529</v>
      </c>
      <c r="F41" s="9">
        <v>2320</v>
      </c>
      <c r="G41" s="9"/>
      <c r="H41" s="9"/>
      <c r="I41" s="9"/>
      <c r="J41" s="9"/>
      <c r="K41" s="9"/>
      <c r="L41" s="18"/>
      <c r="M41" s="64" t="e">
        <f t="shared" si="1"/>
        <v>#DIV/0!</v>
      </c>
      <c r="N41" s="182"/>
      <c r="O41" s="66" t="e">
        <f t="shared" si="2"/>
        <v>#DIV/0!</v>
      </c>
      <c r="P41" s="130" t="e">
        <f t="shared" si="3"/>
        <v>#DIV/0!</v>
      </c>
      <c r="Q41" s="130" t="e">
        <f t="shared" si="4"/>
        <v>#DIV/0!</v>
      </c>
      <c r="R41" s="130" t="e">
        <f t="shared" si="0"/>
        <v>#DIV/0!</v>
      </c>
    </row>
    <row r="42" spans="1:18" ht="13.5" thickBot="1">
      <c r="A42" s="21" t="s">
        <v>27</v>
      </c>
      <c r="B42" s="46"/>
      <c r="C42" s="59"/>
      <c r="D42" s="22">
        <v>3277</v>
      </c>
      <c r="E42" s="22">
        <v>86789</v>
      </c>
      <c r="F42" s="88">
        <f>173475-1</f>
        <v>173474</v>
      </c>
      <c r="G42" s="22">
        <v>212871</v>
      </c>
      <c r="H42" s="22">
        <v>243032</v>
      </c>
      <c r="I42" s="22">
        <v>274137</v>
      </c>
      <c r="J42" s="22">
        <v>60394</v>
      </c>
      <c r="K42" s="22">
        <v>124607</v>
      </c>
      <c r="L42" s="26">
        <v>46526</v>
      </c>
      <c r="M42" s="188">
        <f t="shared" si="1"/>
        <v>114.16867492518944</v>
      </c>
      <c r="N42" s="196">
        <v>58696</v>
      </c>
      <c r="O42" s="69">
        <f t="shared" si="2"/>
        <v>22.030590544143987</v>
      </c>
      <c r="P42" s="105">
        <f t="shared" si="3"/>
        <v>206.32347584197106</v>
      </c>
      <c r="Q42" s="105">
        <f t="shared" si="4"/>
        <v>37.33819127336345</v>
      </c>
      <c r="R42" s="105">
        <f t="shared" si="0"/>
        <v>126.15741735803635</v>
      </c>
    </row>
    <row r="43" spans="1:18" ht="12.75">
      <c r="A43" s="8" t="s">
        <v>28</v>
      </c>
      <c r="B43" s="30"/>
      <c r="C43" s="60"/>
      <c r="D43" s="9">
        <v>158</v>
      </c>
      <c r="E43" s="9">
        <v>2730</v>
      </c>
      <c r="F43" s="9">
        <v>2043</v>
      </c>
      <c r="G43" s="9">
        <v>2045</v>
      </c>
      <c r="H43" s="9">
        <v>2052</v>
      </c>
      <c r="I43" s="9">
        <v>2027</v>
      </c>
      <c r="J43" s="9">
        <v>1987</v>
      </c>
      <c r="K43" s="9">
        <v>1972</v>
      </c>
      <c r="L43" s="18">
        <v>1883</v>
      </c>
      <c r="M43" s="64">
        <f t="shared" si="1"/>
        <v>100.34229828850856</v>
      </c>
      <c r="N43" s="182">
        <v>1755</v>
      </c>
      <c r="O43" s="66">
        <f t="shared" si="2"/>
        <v>98.02664035520473</v>
      </c>
      <c r="P43" s="130">
        <f t="shared" si="3"/>
        <v>99.24509310518368</v>
      </c>
      <c r="Q43" s="130">
        <f t="shared" si="4"/>
        <v>95.4868154158215</v>
      </c>
      <c r="R43" s="130">
        <f t="shared" si="0"/>
        <v>93.2023366967605</v>
      </c>
    </row>
    <row r="44" spans="1:18" ht="12.75">
      <c r="A44" s="4" t="s">
        <v>30</v>
      </c>
      <c r="B44" s="28" t="e">
        <f aca="true" t="shared" si="10" ref="B44:N44">ROUND(B27/B43/12*1000,0)</f>
        <v>#DIV/0!</v>
      </c>
      <c r="C44" s="27" t="e">
        <f t="shared" si="10"/>
        <v>#DIV/0!</v>
      </c>
      <c r="D44" s="9">
        <f t="shared" si="10"/>
        <v>23922</v>
      </c>
      <c r="E44" s="9">
        <f t="shared" si="10"/>
        <v>21530</v>
      </c>
      <c r="F44" s="9">
        <f t="shared" si="10"/>
        <v>22079</v>
      </c>
      <c r="G44" s="18">
        <f t="shared" si="10"/>
        <v>22895</v>
      </c>
      <c r="H44" s="18">
        <f>ROUND(H27/H43/12*1000,0)</f>
        <v>24021</v>
      </c>
      <c r="I44" s="18">
        <f>ROUND(I27/I43/12*1000,0)</f>
        <v>25113</v>
      </c>
      <c r="J44" s="18">
        <f t="shared" si="10"/>
        <v>26260</v>
      </c>
      <c r="K44" s="18">
        <f t="shared" si="10"/>
        <v>28089</v>
      </c>
      <c r="L44" s="18">
        <f t="shared" si="10"/>
        <v>28433</v>
      </c>
      <c r="M44" s="64">
        <f t="shared" si="1"/>
        <v>104.91810438960472</v>
      </c>
      <c r="N44" s="182">
        <f t="shared" si="10"/>
        <v>28148</v>
      </c>
      <c r="O44" s="66">
        <f t="shared" si="2"/>
        <v>104.56735555290089</v>
      </c>
      <c r="P44" s="130">
        <f t="shared" si="3"/>
        <v>106.96496572734195</v>
      </c>
      <c r="Q44" s="130">
        <f t="shared" si="4"/>
        <v>101.22467869984692</v>
      </c>
      <c r="R44" s="130">
        <f t="shared" si="0"/>
        <v>98.99764358316041</v>
      </c>
    </row>
    <row r="45" spans="1:18" ht="12.75" hidden="1">
      <c r="A45" s="106" t="s">
        <v>31</v>
      </c>
      <c r="B45" s="24"/>
      <c r="C45" s="59"/>
      <c r="D45" s="11">
        <f>SUM(MF!B63)</f>
        <v>0</v>
      </c>
      <c r="E45" s="11"/>
      <c r="F45" s="11"/>
      <c r="G45" s="37"/>
      <c r="H45" s="37"/>
      <c r="I45" s="37"/>
      <c r="J45" s="37"/>
      <c r="K45" s="37"/>
      <c r="L45" s="37"/>
      <c r="M45" s="189" t="e">
        <f t="shared" si="1"/>
        <v>#DIV/0!</v>
      </c>
      <c r="N45" s="184"/>
      <c r="O45" s="70" t="e">
        <f t="shared" si="2"/>
        <v>#DIV/0!</v>
      </c>
      <c r="P45" s="126" t="e">
        <f t="shared" si="3"/>
        <v>#DIV/0!</v>
      </c>
      <c r="Q45" s="126" t="e">
        <f t="shared" si="4"/>
        <v>#DIV/0!</v>
      </c>
      <c r="R45" s="126" t="e">
        <f t="shared" si="0"/>
        <v>#DIV/0!</v>
      </c>
    </row>
    <row r="46" spans="1:18" ht="13.5" thickBot="1">
      <c r="A46" s="21" t="s">
        <v>29</v>
      </c>
      <c r="B46" s="46" t="e">
        <f aca="true" t="shared" si="11" ref="B46:K46">B32/B43*1000</f>
        <v>#DIV/0!</v>
      </c>
      <c r="C46" s="26" t="e">
        <f t="shared" si="11"/>
        <v>#DIV/0!</v>
      </c>
      <c r="D46" s="22">
        <f t="shared" si="11"/>
        <v>186506.32911392403</v>
      </c>
      <c r="E46" s="22">
        <f t="shared" si="11"/>
        <v>205131.86813186813</v>
      </c>
      <c r="F46" s="22">
        <f t="shared" si="11"/>
        <v>308790.9936368086</v>
      </c>
      <c r="G46" s="26">
        <f t="shared" si="11"/>
        <v>344869.92665036675</v>
      </c>
      <c r="H46" s="79">
        <f t="shared" si="11"/>
        <v>391654.4834307993</v>
      </c>
      <c r="I46" s="79">
        <f t="shared" si="11"/>
        <v>441901.8253576714</v>
      </c>
      <c r="J46" s="79">
        <f>J32/J43*1000</f>
        <v>421224.96225465526</v>
      </c>
      <c r="K46" s="79">
        <f t="shared" si="11"/>
        <v>426133.8742393509</v>
      </c>
      <c r="L46" s="79">
        <f>L32/L43*1000</f>
        <v>325975.0398300584</v>
      </c>
      <c r="M46" s="190">
        <f t="shared" si="1"/>
        <v>113.56585575171454</v>
      </c>
      <c r="N46" s="201">
        <f>N32/N43*1000</f>
        <v>331066.0968660969</v>
      </c>
      <c r="O46" s="71">
        <f t="shared" si="2"/>
        <v>95.32093738551985</v>
      </c>
      <c r="P46" s="133">
        <f t="shared" si="3"/>
        <v>101.16538961946134</v>
      </c>
      <c r="Q46" s="133">
        <f t="shared" si="4"/>
        <v>76.4959228861878</v>
      </c>
      <c r="R46" s="133">
        <f t="shared" si="0"/>
        <v>101.56179351605958</v>
      </c>
    </row>
    <row r="47" ht="12.75">
      <c r="A47" s="2" t="s">
        <v>58</v>
      </c>
    </row>
  </sheetData>
  <printOptions/>
  <pageMargins left="0.5905511811023623" right="0.7874015748031497" top="0.984251968503937" bottom="0.1968503937007874" header="0.9055118110236221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selection activeCell="U28" sqref="U28"/>
    </sheetView>
  </sheetViews>
  <sheetFormatPr defaultColWidth="9.125" defaultRowHeight="12.75"/>
  <cols>
    <col min="1" max="1" width="33.125" style="2" customWidth="1"/>
    <col min="2" max="2" width="12.75390625" style="2" hidden="1" customWidth="1"/>
    <col min="3" max="3" width="11.25390625" style="2" hidden="1" customWidth="1"/>
    <col min="4" max="4" width="11.75390625" style="20" hidden="1" customWidth="1"/>
    <col min="5" max="5" width="10.625" style="20" hidden="1" customWidth="1"/>
    <col min="6" max="6" width="10.125" style="20" hidden="1" customWidth="1"/>
    <col min="7" max="8" width="11.00390625" style="20" hidden="1" customWidth="1"/>
    <col min="9" max="12" width="11.00390625" style="20" customWidth="1"/>
    <col min="13" max="13" width="8.875" style="2" hidden="1" customWidth="1"/>
    <col min="14" max="14" width="11.375" style="2" customWidth="1"/>
    <col min="15" max="16384" width="9.125" style="2" customWidth="1"/>
  </cols>
  <sheetData>
    <row r="1" spans="1:12" ht="12.75">
      <c r="A1" s="1" t="s">
        <v>67</v>
      </c>
      <c r="B1" s="1"/>
      <c r="C1" s="1"/>
      <c r="D1" s="19"/>
      <c r="E1" s="19"/>
      <c r="F1" s="19"/>
      <c r="G1" s="19"/>
      <c r="H1" s="19"/>
      <c r="I1" s="19"/>
      <c r="J1" s="19"/>
      <c r="K1" s="19"/>
      <c r="L1" s="19"/>
    </row>
    <row r="2" ht="12.75" hidden="1"/>
    <row r="3" ht="13.5" thickBot="1"/>
    <row r="4" spans="1:18" ht="12.75">
      <c r="A4" s="3"/>
      <c r="B4" s="31">
        <v>2000</v>
      </c>
      <c r="C4" s="34">
        <v>2001</v>
      </c>
      <c r="D4" s="34">
        <v>2002</v>
      </c>
      <c r="E4" s="34">
        <v>2003</v>
      </c>
      <c r="F4" s="34">
        <v>2004</v>
      </c>
      <c r="G4" s="34">
        <v>2005</v>
      </c>
      <c r="H4" s="34">
        <v>2006</v>
      </c>
      <c r="I4" s="34">
        <v>2007</v>
      </c>
      <c r="J4" s="34">
        <v>2008</v>
      </c>
      <c r="K4" s="80">
        <v>2009</v>
      </c>
      <c r="L4" s="34">
        <v>2010</v>
      </c>
      <c r="M4" s="174" t="s">
        <v>32</v>
      </c>
      <c r="N4" s="172">
        <v>2011</v>
      </c>
      <c r="O4" s="167" t="s">
        <v>32</v>
      </c>
      <c r="P4" s="48" t="s">
        <v>32</v>
      </c>
      <c r="Q4" s="48" t="s">
        <v>32</v>
      </c>
      <c r="R4" s="48" t="s">
        <v>32</v>
      </c>
    </row>
    <row r="5" spans="1:18" ht="12.75">
      <c r="A5" s="4" t="s">
        <v>0</v>
      </c>
      <c r="B5" s="32" t="s">
        <v>1</v>
      </c>
      <c r="C5" s="35" t="s">
        <v>1</v>
      </c>
      <c r="D5" s="35" t="s">
        <v>1</v>
      </c>
      <c r="E5" s="35" t="s">
        <v>1</v>
      </c>
      <c r="F5" s="35" t="s">
        <v>1</v>
      </c>
      <c r="G5" s="35" t="s">
        <v>1</v>
      </c>
      <c r="H5" s="35" t="s">
        <v>1</v>
      </c>
      <c r="I5" s="35" t="s">
        <v>1</v>
      </c>
      <c r="J5" s="35" t="s">
        <v>1</v>
      </c>
      <c r="K5" s="35" t="s">
        <v>1</v>
      </c>
      <c r="L5" s="35" t="s">
        <v>1</v>
      </c>
      <c r="M5" s="35" t="s">
        <v>49</v>
      </c>
      <c r="N5" s="49" t="s">
        <v>1</v>
      </c>
      <c r="O5" s="168" t="s">
        <v>48</v>
      </c>
      <c r="P5" s="49" t="s">
        <v>44</v>
      </c>
      <c r="Q5" s="49" t="s">
        <v>51</v>
      </c>
      <c r="R5" s="49" t="s">
        <v>60</v>
      </c>
    </row>
    <row r="6" spans="1:18" ht="13.5" thickBot="1">
      <c r="A6" s="5"/>
      <c r="B6" s="33" t="s">
        <v>34</v>
      </c>
      <c r="C6" s="74" t="s">
        <v>34</v>
      </c>
      <c r="D6" s="36" t="s">
        <v>34</v>
      </c>
      <c r="E6" s="36" t="s">
        <v>34</v>
      </c>
      <c r="F6" s="33" t="s">
        <v>39</v>
      </c>
      <c r="G6" s="36" t="s">
        <v>40</v>
      </c>
      <c r="H6" s="36" t="s">
        <v>40</v>
      </c>
      <c r="I6" s="36" t="s">
        <v>40</v>
      </c>
      <c r="J6" s="36" t="s">
        <v>40</v>
      </c>
      <c r="K6" s="36" t="s">
        <v>40</v>
      </c>
      <c r="L6" s="36" t="s">
        <v>40</v>
      </c>
      <c r="M6" s="175" t="s">
        <v>50</v>
      </c>
      <c r="N6" s="173" t="s">
        <v>40</v>
      </c>
      <c r="O6" s="169" t="s">
        <v>42</v>
      </c>
      <c r="P6" s="73" t="s">
        <v>45</v>
      </c>
      <c r="Q6" s="73" t="s">
        <v>52</v>
      </c>
      <c r="R6" s="73" t="s">
        <v>61</v>
      </c>
    </row>
    <row r="7" spans="1:18" ht="13.5" thickBot="1">
      <c r="A7" s="5" t="s">
        <v>2</v>
      </c>
      <c r="B7" s="51">
        <v>1</v>
      </c>
      <c r="C7" s="36">
        <v>2</v>
      </c>
      <c r="D7" s="36">
        <v>3</v>
      </c>
      <c r="E7" s="36">
        <v>4</v>
      </c>
      <c r="F7" s="36"/>
      <c r="G7" s="36">
        <v>1</v>
      </c>
      <c r="H7" s="36">
        <v>1</v>
      </c>
      <c r="I7" s="36">
        <v>1</v>
      </c>
      <c r="J7" s="36">
        <v>2</v>
      </c>
      <c r="K7" s="36">
        <v>3</v>
      </c>
      <c r="L7" s="36">
        <v>4</v>
      </c>
      <c r="M7" s="36" t="s">
        <v>33</v>
      </c>
      <c r="N7" s="173">
        <v>5</v>
      </c>
      <c r="O7" s="50" t="s">
        <v>54</v>
      </c>
      <c r="P7" s="50" t="s">
        <v>55</v>
      </c>
      <c r="Q7" s="50" t="s">
        <v>35</v>
      </c>
      <c r="R7" s="50" t="s">
        <v>36</v>
      </c>
    </row>
    <row r="8" spans="1:18" ht="12.75">
      <c r="A8" s="90" t="s">
        <v>38</v>
      </c>
      <c r="B8" s="89"/>
      <c r="C8" s="35"/>
      <c r="D8" s="35"/>
      <c r="E8" s="78"/>
      <c r="F8" s="101">
        <f>F9+F12</f>
        <v>592781</v>
      </c>
      <c r="G8" s="102">
        <f>G9+G12+G13+G14+G15</f>
        <v>576848</v>
      </c>
      <c r="H8" s="102">
        <f>H9+H12+H13+H14+H15</f>
        <v>991928</v>
      </c>
      <c r="I8" s="102">
        <f>I9+I12+I13+I14+I15</f>
        <v>0</v>
      </c>
      <c r="J8" s="102">
        <f>J9+J11+J12+J13+J14+J15</f>
        <v>0</v>
      </c>
      <c r="K8" s="102">
        <f>K9+K11+K12+K13+K14+K15</f>
        <v>0</v>
      </c>
      <c r="L8" s="102">
        <f>L9+L11+L12+L13+L14+L15</f>
        <v>0</v>
      </c>
      <c r="M8" s="176">
        <f>H8/G8*100</f>
        <v>171.95656394752172</v>
      </c>
      <c r="N8" s="197">
        <f>N9+N11+N12+N13+N14+N15</f>
        <v>688</v>
      </c>
      <c r="O8" s="103"/>
      <c r="P8" s="103"/>
      <c r="Q8" s="103"/>
      <c r="R8" s="103"/>
    </row>
    <row r="9" spans="1:18" ht="12.75">
      <c r="A9" s="135" t="s">
        <v>56</v>
      </c>
      <c r="B9" s="94"/>
      <c r="C9" s="95"/>
      <c r="D9" s="95"/>
      <c r="E9" s="96"/>
      <c r="F9" s="97">
        <v>0</v>
      </c>
      <c r="G9" s="98"/>
      <c r="H9" s="98"/>
      <c r="I9" s="98"/>
      <c r="J9" s="98"/>
      <c r="K9" s="98"/>
      <c r="L9" s="98">
        <v>0</v>
      </c>
      <c r="M9" s="98"/>
      <c r="N9" s="177"/>
      <c r="O9" s="104"/>
      <c r="P9" s="104"/>
      <c r="Q9" s="104"/>
      <c r="R9" s="104"/>
    </row>
    <row r="10" spans="1:18" ht="12.75">
      <c r="A10" s="142" t="s">
        <v>53</v>
      </c>
      <c r="B10" s="89"/>
      <c r="C10" s="35"/>
      <c r="D10" s="35"/>
      <c r="E10" s="78"/>
      <c r="F10" s="125"/>
      <c r="G10" s="59"/>
      <c r="H10" s="59"/>
      <c r="I10" s="59"/>
      <c r="J10" s="59"/>
      <c r="K10" s="59"/>
      <c r="L10" s="59"/>
      <c r="M10" s="194"/>
      <c r="N10" s="195"/>
      <c r="O10" s="113"/>
      <c r="P10" s="113"/>
      <c r="Q10" s="113"/>
      <c r="R10" s="113"/>
    </row>
    <row r="11" spans="1:18" ht="12.75">
      <c r="A11" s="142" t="s">
        <v>57</v>
      </c>
      <c r="B11" s="89"/>
      <c r="C11" s="35"/>
      <c r="D11" s="35"/>
      <c r="E11" s="78"/>
      <c r="F11" s="125"/>
      <c r="G11" s="59"/>
      <c r="H11" s="59"/>
      <c r="I11" s="59"/>
      <c r="J11" s="59"/>
      <c r="K11" s="59"/>
      <c r="L11" s="59"/>
      <c r="M11" s="194"/>
      <c r="N11" s="195">
        <v>673</v>
      </c>
      <c r="O11" s="113"/>
      <c r="P11" s="113"/>
      <c r="Q11" s="113"/>
      <c r="R11" s="113"/>
    </row>
    <row r="12" spans="1:18" ht="12.75">
      <c r="A12" s="149" t="s">
        <v>46</v>
      </c>
      <c r="B12" s="107"/>
      <c r="C12" s="108"/>
      <c r="D12" s="114" t="s">
        <v>37</v>
      </c>
      <c r="E12" s="109"/>
      <c r="F12" s="109">
        <v>592781</v>
      </c>
      <c r="G12" s="59">
        <v>519893</v>
      </c>
      <c r="H12" s="59">
        <v>804174</v>
      </c>
      <c r="I12" s="59"/>
      <c r="J12" s="59"/>
      <c r="K12" s="59"/>
      <c r="L12" s="59"/>
      <c r="M12" s="194">
        <f aca="true" t="shared" si="0" ref="M12:M46">H12/G12*100</f>
        <v>154.68067467728937</v>
      </c>
      <c r="N12" s="195">
        <v>15</v>
      </c>
      <c r="O12" s="113"/>
      <c r="P12" s="113"/>
      <c r="Q12" s="113"/>
      <c r="R12" s="113"/>
    </row>
    <row r="13" spans="1:18" ht="12.75">
      <c r="A13" s="106" t="s">
        <v>43</v>
      </c>
      <c r="B13" s="107"/>
      <c r="C13" s="108"/>
      <c r="D13" s="114"/>
      <c r="E13" s="109"/>
      <c r="F13" s="109"/>
      <c r="G13" s="59">
        <v>56955</v>
      </c>
      <c r="H13" s="59">
        <v>187754</v>
      </c>
      <c r="I13" s="59"/>
      <c r="J13" s="59"/>
      <c r="K13" s="59"/>
      <c r="L13" s="59"/>
      <c r="M13" s="194">
        <f t="shared" si="0"/>
        <v>329.65323501009567</v>
      </c>
      <c r="N13" s="195"/>
      <c r="O13" s="113"/>
      <c r="P13" s="113"/>
      <c r="Q13" s="113"/>
      <c r="R13" s="113"/>
    </row>
    <row r="14" spans="1:18" ht="12.75">
      <c r="A14" s="106" t="s">
        <v>41</v>
      </c>
      <c r="B14" s="107"/>
      <c r="C14" s="108"/>
      <c r="D14" s="114"/>
      <c r="E14" s="109"/>
      <c r="F14" s="109"/>
      <c r="G14" s="59"/>
      <c r="H14" s="59"/>
      <c r="I14" s="59"/>
      <c r="J14" s="59"/>
      <c r="K14" s="59"/>
      <c r="L14" s="59"/>
      <c r="M14" s="194"/>
      <c r="N14" s="195"/>
      <c r="O14" s="113"/>
      <c r="P14" s="113"/>
      <c r="Q14" s="113"/>
      <c r="R14" s="113"/>
    </row>
    <row r="15" spans="1:18" ht="13.5" thickBot="1">
      <c r="A15" s="21" t="s">
        <v>47</v>
      </c>
      <c r="B15" s="91"/>
      <c r="C15" s="92"/>
      <c r="D15" s="93"/>
      <c r="E15" s="22"/>
      <c r="F15" s="22"/>
      <c r="G15" s="26"/>
      <c r="H15" s="26"/>
      <c r="I15" s="26"/>
      <c r="J15" s="26"/>
      <c r="K15" s="26"/>
      <c r="L15" s="26"/>
      <c r="M15" s="188"/>
      <c r="N15" s="196"/>
      <c r="O15" s="105"/>
      <c r="P15" s="105"/>
      <c r="Q15" s="105"/>
      <c r="R15" s="105"/>
    </row>
    <row r="16" spans="1:18" ht="12.75">
      <c r="A16" s="6" t="s">
        <v>3</v>
      </c>
      <c r="B16" s="42">
        <f aca="true" t="shared" si="1" ref="B16:K16">B18+B24</f>
        <v>0</v>
      </c>
      <c r="C16" s="38">
        <f t="shared" si="1"/>
        <v>0</v>
      </c>
      <c r="D16" s="38">
        <f t="shared" si="1"/>
        <v>106702</v>
      </c>
      <c r="E16" s="7">
        <f t="shared" si="1"/>
        <v>1639374</v>
      </c>
      <c r="F16" s="7">
        <f t="shared" si="1"/>
        <v>1511642</v>
      </c>
      <c r="G16" s="38">
        <f t="shared" si="1"/>
        <v>1783580</v>
      </c>
      <c r="H16" s="38">
        <f t="shared" si="1"/>
        <v>1919410</v>
      </c>
      <c r="I16" s="38">
        <f t="shared" si="1"/>
        <v>0</v>
      </c>
      <c r="J16" s="38">
        <f>J18+J24</f>
        <v>0</v>
      </c>
      <c r="K16" s="38">
        <f t="shared" si="1"/>
        <v>0</v>
      </c>
      <c r="L16" s="38">
        <f>L18+L24</f>
        <v>0</v>
      </c>
      <c r="M16" s="181">
        <f t="shared" si="0"/>
        <v>107.61558214377824</v>
      </c>
      <c r="N16" s="198">
        <f>N18+N24</f>
        <v>7488</v>
      </c>
      <c r="O16" s="65"/>
      <c r="P16" s="129"/>
      <c r="Q16" s="129"/>
      <c r="R16" s="129"/>
    </row>
    <row r="17" spans="1:18" ht="12.75">
      <c r="A17" s="8" t="s">
        <v>4</v>
      </c>
      <c r="B17" s="30"/>
      <c r="C17" s="53"/>
      <c r="D17" s="18"/>
      <c r="E17" s="9"/>
      <c r="F17" s="9"/>
      <c r="G17" s="18"/>
      <c r="H17" s="18"/>
      <c r="I17" s="18"/>
      <c r="J17" s="18"/>
      <c r="K17" s="18"/>
      <c r="L17" s="18"/>
      <c r="M17" s="18"/>
      <c r="N17" s="182"/>
      <c r="O17" s="66"/>
      <c r="P17" s="130"/>
      <c r="Q17" s="130"/>
      <c r="R17" s="130"/>
    </row>
    <row r="18" spans="1:18" ht="12.75">
      <c r="A18" s="6" t="s">
        <v>5</v>
      </c>
      <c r="B18" s="42">
        <f aca="true" t="shared" si="2" ref="B18:K18">B20+B21+B22</f>
        <v>0</v>
      </c>
      <c r="C18" s="54">
        <f t="shared" si="2"/>
        <v>0</v>
      </c>
      <c r="D18" s="38">
        <f t="shared" si="2"/>
        <v>13435</v>
      </c>
      <c r="E18" s="7">
        <f t="shared" si="2"/>
        <v>56763</v>
      </c>
      <c r="F18" s="7">
        <f t="shared" si="2"/>
        <v>130060</v>
      </c>
      <c r="G18" s="38">
        <f t="shared" si="2"/>
        <v>300428</v>
      </c>
      <c r="H18" s="38">
        <f t="shared" si="2"/>
        <v>298952</v>
      </c>
      <c r="I18" s="38">
        <f t="shared" si="2"/>
        <v>0</v>
      </c>
      <c r="J18" s="38">
        <f>J20+J21+J22</f>
        <v>0</v>
      </c>
      <c r="K18" s="38">
        <f t="shared" si="2"/>
        <v>0</v>
      </c>
      <c r="L18" s="38">
        <f>L20+L21+L22</f>
        <v>0</v>
      </c>
      <c r="M18" s="181">
        <f t="shared" si="0"/>
        <v>99.50870092002077</v>
      </c>
      <c r="N18" s="198">
        <f>N20+N21+N22</f>
        <v>772</v>
      </c>
      <c r="O18" s="65"/>
      <c r="P18" s="129"/>
      <c r="Q18" s="129"/>
      <c r="R18" s="129"/>
    </row>
    <row r="19" spans="1:18" ht="12.75">
      <c r="A19" s="8" t="s">
        <v>6</v>
      </c>
      <c r="B19" s="30"/>
      <c r="C19" s="55"/>
      <c r="D19" s="18"/>
      <c r="E19" s="9"/>
      <c r="F19" s="9"/>
      <c r="G19" s="18"/>
      <c r="H19" s="18"/>
      <c r="I19" s="18"/>
      <c r="J19" s="18"/>
      <c r="K19" s="18"/>
      <c r="L19" s="18"/>
      <c r="M19" s="18"/>
      <c r="N19" s="182"/>
      <c r="O19" s="66"/>
      <c r="P19" s="130"/>
      <c r="Q19" s="130"/>
      <c r="R19" s="130"/>
    </row>
    <row r="20" spans="1:18" ht="12.75">
      <c r="A20" s="8" t="s">
        <v>7</v>
      </c>
      <c r="B20" s="30"/>
      <c r="C20" s="53"/>
      <c r="D20" s="18">
        <v>2263</v>
      </c>
      <c r="E20" s="9">
        <v>4390</v>
      </c>
      <c r="F20" s="9">
        <v>13580</v>
      </c>
      <c r="G20" s="9">
        <v>123109</v>
      </c>
      <c r="H20" s="9">
        <v>101866</v>
      </c>
      <c r="I20" s="9"/>
      <c r="J20" s="9"/>
      <c r="K20" s="9"/>
      <c r="L20" s="18"/>
      <c r="M20" s="64">
        <f t="shared" si="0"/>
        <v>82.74455969912842</v>
      </c>
      <c r="N20" s="182"/>
      <c r="O20" s="66"/>
      <c r="P20" s="130"/>
      <c r="Q20" s="130"/>
      <c r="R20" s="130"/>
    </row>
    <row r="21" spans="1:18" ht="12.75">
      <c r="A21" s="8" t="s">
        <v>8</v>
      </c>
      <c r="B21" s="30"/>
      <c r="C21" s="53"/>
      <c r="D21" s="18">
        <v>11172</v>
      </c>
      <c r="E21" s="9">
        <v>50272</v>
      </c>
      <c r="F21" s="9">
        <f>93329</f>
        <v>93329</v>
      </c>
      <c r="G21" s="9">
        <v>59612</v>
      </c>
      <c r="H21" s="9">
        <v>68009</v>
      </c>
      <c r="I21" s="9"/>
      <c r="J21" s="9"/>
      <c r="K21" s="9"/>
      <c r="L21" s="18"/>
      <c r="M21" s="64">
        <f t="shared" si="0"/>
        <v>114.08609004898342</v>
      </c>
      <c r="N21" s="182">
        <v>772</v>
      </c>
      <c r="O21" s="66"/>
      <c r="P21" s="130"/>
      <c r="Q21" s="130"/>
      <c r="R21" s="130"/>
    </row>
    <row r="22" spans="1:18" ht="12.75">
      <c r="A22" s="12" t="s">
        <v>9</v>
      </c>
      <c r="B22" s="43"/>
      <c r="C22" s="56"/>
      <c r="D22" s="39"/>
      <c r="E22" s="13">
        <v>2101</v>
      </c>
      <c r="F22" s="86">
        <v>23151</v>
      </c>
      <c r="G22" s="13">
        <v>117707</v>
      </c>
      <c r="H22" s="13">
        <v>129077</v>
      </c>
      <c r="I22" s="13"/>
      <c r="J22" s="39"/>
      <c r="K22" s="39"/>
      <c r="L22" s="39"/>
      <c r="M22" s="39">
        <f t="shared" si="0"/>
        <v>109.65957844478238</v>
      </c>
      <c r="N22" s="183"/>
      <c r="O22" s="72"/>
      <c r="P22" s="134"/>
      <c r="Q22" s="134"/>
      <c r="R22" s="134"/>
    </row>
    <row r="23" spans="1:18" ht="2.25" customHeight="1">
      <c r="A23" s="4"/>
      <c r="B23" s="24"/>
      <c r="C23" s="25"/>
      <c r="D23" s="37"/>
      <c r="E23" s="11"/>
      <c r="F23" s="11"/>
      <c r="G23" s="37"/>
      <c r="H23" s="37"/>
      <c r="I23" s="37"/>
      <c r="J23" s="37"/>
      <c r="K23" s="37"/>
      <c r="L23" s="37"/>
      <c r="M23" s="37"/>
      <c r="N23" s="184"/>
      <c r="O23" s="70"/>
      <c r="P23" s="126"/>
      <c r="Q23" s="126"/>
      <c r="R23" s="126"/>
    </row>
    <row r="24" spans="1:18" ht="12.75">
      <c r="A24" s="6" t="s">
        <v>10</v>
      </c>
      <c r="B24" s="42">
        <f aca="true" t="shared" si="3" ref="B24:K24">B26+B29+B30+B31+B32</f>
        <v>0</v>
      </c>
      <c r="C24" s="38">
        <f t="shared" si="3"/>
        <v>0</v>
      </c>
      <c r="D24" s="38">
        <f t="shared" si="3"/>
        <v>93267</v>
      </c>
      <c r="E24" s="7">
        <f t="shared" si="3"/>
        <v>1582611</v>
      </c>
      <c r="F24" s="7">
        <f t="shared" si="3"/>
        <v>1381582</v>
      </c>
      <c r="G24" s="38">
        <f t="shared" si="3"/>
        <v>1483152</v>
      </c>
      <c r="H24" s="38">
        <f t="shared" si="3"/>
        <v>1620458</v>
      </c>
      <c r="I24" s="38">
        <f t="shared" si="3"/>
        <v>0</v>
      </c>
      <c r="J24" s="38">
        <f>J26+J29+J30+J31+J32</f>
        <v>0</v>
      </c>
      <c r="K24" s="38">
        <f t="shared" si="3"/>
        <v>0</v>
      </c>
      <c r="L24" s="38">
        <f>L26+L29+L30+L31+L32</f>
        <v>0</v>
      </c>
      <c r="M24" s="181">
        <f t="shared" si="0"/>
        <v>109.25771599943903</v>
      </c>
      <c r="N24" s="198">
        <f>N26+N29+N30+N31+N32</f>
        <v>6716</v>
      </c>
      <c r="O24" s="65"/>
      <c r="P24" s="129"/>
      <c r="Q24" s="129"/>
      <c r="R24" s="129"/>
    </row>
    <row r="25" spans="1:18" ht="12.75">
      <c r="A25" s="8" t="s">
        <v>6</v>
      </c>
      <c r="B25" s="30"/>
      <c r="C25" s="53"/>
      <c r="D25" s="18"/>
      <c r="E25" s="9"/>
      <c r="F25" s="9"/>
      <c r="G25" s="18"/>
      <c r="H25" s="18"/>
      <c r="I25" s="18"/>
      <c r="J25" s="18"/>
      <c r="K25" s="18"/>
      <c r="L25" s="18"/>
      <c r="M25" s="64"/>
      <c r="N25" s="182"/>
      <c r="O25" s="66"/>
      <c r="P25" s="130"/>
      <c r="Q25" s="130"/>
      <c r="R25" s="130"/>
    </row>
    <row r="26" spans="1:18" ht="12.75">
      <c r="A26" s="14" t="s">
        <v>11</v>
      </c>
      <c r="B26" s="44"/>
      <c r="C26" s="57"/>
      <c r="D26" s="40">
        <f aca="true" t="shared" si="4" ref="D26:K26">D27+D28</f>
        <v>46622</v>
      </c>
      <c r="E26" s="15">
        <f t="shared" si="4"/>
        <v>753625</v>
      </c>
      <c r="F26" s="15">
        <f t="shared" si="4"/>
        <v>550164</v>
      </c>
      <c r="G26" s="40">
        <f t="shared" si="4"/>
        <v>567780</v>
      </c>
      <c r="H26" s="40">
        <f t="shared" si="4"/>
        <v>596495</v>
      </c>
      <c r="I26" s="40">
        <f t="shared" si="4"/>
        <v>0</v>
      </c>
      <c r="J26" s="40">
        <f>J27+J28</f>
        <v>0</v>
      </c>
      <c r="K26" s="40">
        <f t="shared" si="4"/>
        <v>0</v>
      </c>
      <c r="L26" s="40">
        <f>L27+L28</f>
        <v>0</v>
      </c>
      <c r="M26" s="185">
        <f t="shared" si="0"/>
        <v>105.05741660502308</v>
      </c>
      <c r="N26" s="199">
        <f>N27+N28</f>
        <v>4235</v>
      </c>
      <c r="O26" s="67"/>
      <c r="P26" s="131"/>
      <c r="Q26" s="131"/>
      <c r="R26" s="131"/>
    </row>
    <row r="27" spans="1:18" ht="12.75">
      <c r="A27" s="8" t="s">
        <v>12</v>
      </c>
      <c r="B27" s="30"/>
      <c r="C27" s="53"/>
      <c r="D27" s="18">
        <v>45357</v>
      </c>
      <c r="E27" s="9">
        <v>705309</v>
      </c>
      <c r="F27" s="87">
        <v>541295</v>
      </c>
      <c r="G27" s="9">
        <v>561834</v>
      </c>
      <c r="H27" s="9">
        <v>591486</v>
      </c>
      <c r="I27" s="9"/>
      <c r="J27" s="9"/>
      <c r="K27" s="9"/>
      <c r="L27" s="18"/>
      <c r="M27" s="64">
        <f t="shared" si="0"/>
        <v>105.27771548179712</v>
      </c>
      <c r="N27" s="182">
        <v>4117</v>
      </c>
      <c r="O27" s="66"/>
      <c r="P27" s="130"/>
      <c r="Q27" s="130"/>
      <c r="R27" s="130"/>
    </row>
    <row r="28" spans="1:18" ht="12.75">
      <c r="A28" s="23" t="s">
        <v>13</v>
      </c>
      <c r="B28" s="52"/>
      <c r="C28" s="63"/>
      <c r="D28" s="18">
        <v>1265</v>
      </c>
      <c r="E28" s="9">
        <v>48316</v>
      </c>
      <c r="F28" s="9">
        <f>8868+1</f>
        <v>8869</v>
      </c>
      <c r="G28" s="9">
        <v>5946</v>
      </c>
      <c r="H28" s="9">
        <v>5009</v>
      </c>
      <c r="I28" s="9"/>
      <c r="J28" s="9"/>
      <c r="K28" s="9"/>
      <c r="L28" s="18"/>
      <c r="M28" s="64">
        <f t="shared" si="0"/>
        <v>84.24150689539186</v>
      </c>
      <c r="N28" s="182">
        <v>118</v>
      </c>
      <c r="O28" s="66"/>
      <c r="P28" s="130"/>
      <c r="Q28" s="130"/>
      <c r="R28" s="130"/>
    </row>
    <row r="29" spans="1:18" ht="12.75">
      <c r="A29" s="16" t="s">
        <v>14</v>
      </c>
      <c r="B29" s="45"/>
      <c r="C29" s="58"/>
      <c r="D29" s="41">
        <v>16267</v>
      </c>
      <c r="E29" s="17">
        <v>254891</v>
      </c>
      <c r="F29" s="15">
        <v>189520</v>
      </c>
      <c r="G29" s="17">
        <v>197636</v>
      </c>
      <c r="H29" s="17">
        <v>207753</v>
      </c>
      <c r="I29" s="17"/>
      <c r="J29" s="17"/>
      <c r="K29" s="17"/>
      <c r="L29" s="41"/>
      <c r="M29" s="186">
        <f t="shared" si="0"/>
        <v>105.1190066587059</v>
      </c>
      <c r="N29" s="200">
        <v>1400</v>
      </c>
      <c r="O29" s="68"/>
      <c r="P29" s="132"/>
      <c r="Q29" s="132"/>
      <c r="R29" s="132"/>
    </row>
    <row r="30" spans="1:18" ht="12.75">
      <c r="A30" s="16" t="s">
        <v>15</v>
      </c>
      <c r="B30" s="45"/>
      <c r="C30" s="58"/>
      <c r="D30" s="41">
        <v>910</v>
      </c>
      <c r="E30" s="17">
        <v>14085</v>
      </c>
      <c r="F30" s="15">
        <v>11038</v>
      </c>
      <c r="G30" s="17">
        <v>12477</v>
      </c>
      <c r="H30" s="17">
        <v>12535</v>
      </c>
      <c r="I30" s="17"/>
      <c r="J30" s="17"/>
      <c r="K30" s="17"/>
      <c r="L30" s="41"/>
      <c r="M30" s="186">
        <f t="shared" si="0"/>
        <v>100.46485533381421</v>
      </c>
      <c r="N30" s="200">
        <v>41</v>
      </c>
      <c r="O30" s="68"/>
      <c r="P30" s="132"/>
      <c r="Q30" s="132"/>
      <c r="R30" s="132"/>
    </row>
    <row r="31" spans="1:18" ht="12.75">
      <c r="A31" s="14" t="s">
        <v>16</v>
      </c>
      <c r="B31" s="44"/>
      <c r="C31" s="57"/>
      <c r="D31" s="41">
        <v>0</v>
      </c>
      <c r="E31" s="17">
        <v>0</v>
      </c>
      <c r="F31" s="17">
        <v>0</v>
      </c>
      <c r="G31" s="15">
        <v>0</v>
      </c>
      <c r="H31" s="15">
        <v>0</v>
      </c>
      <c r="I31" s="15"/>
      <c r="J31" s="15"/>
      <c r="K31" s="15"/>
      <c r="L31" s="40"/>
      <c r="M31" s="185"/>
      <c r="N31" s="199"/>
      <c r="O31" s="68"/>
      <c r="P31" s="132"/>
      <c r="Q31" s="132"/>
      <c r="R31" s="132"/>
    </row>
    <row r="32" spans="1:18" ht="12.75">
      <c r="A32" s="14" t="s">
        <v>17</v>
      </c>
      <c r="B32" s="44">
        <f aca="true" t="shared" si="5" ref="B32:K32">B34+B35+B36+B38+B42</f>
        <v>0</v>
      </c>
      <c r="C32" s="57">
        <f t="shared" si="5"/>
        <v>0</v>
      </c>
      <c r="D32" s="40">
        <f t="shared" si="5"/>
        <v>29468</v>
      </c>
      <c r="E32" s="15">
        <f t="shared" si="5"/>
        <v>560010</v>
      </c>
      <c r="F32" s="15">
        <f t="shared" si="5"/>
        <v>630860</v>
      </c>
      <c r="G32" s="40">
        <f t="shared" si="5"/>
        <v>705259</v>
      </c>
      <c r="H32" s="40">
        <f t="shared" si="5"/>
        <v>803675</v>
      </c>
      <c r="I32" s="40">
        <f t="shared" si="5"/>
        <v>0</v>
      </c>
      <c r="J32" s="40">
        <f>J34+J35+J36+J38+J42</f>
        <v>0</v>
      </c>
      <c r="K32" s="40">
        <f t="shared" si="5"/>
        <v>0</v>
      </c>
      <c r="L32" s="40">
        <f>L34+L35+L36+L38+L42</f>
        <v>0</v>
      </c>
      <c r="M32" s="185">
        <f t="shared" si="0"/>
        <v>113.95458973228274</v>
      </c>
      <c r="N32" s="199">
        <f>N34+N35+N36+N38+N42</f>
        <v>1040</v>
      </c>
      <c r="O32" s="67"/>
      <c r="P32" s="131"/>
      <c r="Q32" s="131"/>
      <c r="R32" s="131"/>
    </row>
    <row r="33" spans="1:18" ht="12.75">
      <c r="A33" s="8" t="s">
        <v>18</v>
      </c>
      <c r="B33" s="30"/>
      <c r="C33" s="53"/>
      <c r="D33" s="18"/>
      <c r="E33" s="9"/>
      <c r="F33" s="9"/>
      <c r="G33" s="18"/>
      <c r="H33" s="18"/>
      <c r="I33" s="18"/>
      <c r="J33" s="18"/>
      <c r="K33" s="18"/>
      <c r="L33" s="18"/>
      <c r="M33" s="64"/>
      <c r="N33" s="182"/>
      <c r="O33" s="66"/>
      <c r="P33" s="130"/>
      <c r="Q33" s="130"/>
      <c r="R33" s="130"/>
    </row>
    <row r="34" spans="1:19" ht="12.75">
      <c r="A34" s="8" t="s">
        <v>19</v>
      </c>
      <c r="B34" s="30"/>
      <c r="C34" s="27"/>
      <c r="D34" s="9">
        <v>8298</v>
      </c>
      <c r="E34" s="9">
        <v>59055</v>
      </c>
      <c r="F34" s="9">
        <v>65748</v>
      </c>
      <c r="G34" s="9">
        <v>50917</v>
      </c>
      <c r="H34" s="9">
        <v>38895</v>
      </c>
      <c r="I34" s="9"/>
      <c r="J34" s="9"/>
      <c r="K34" s="9"/>
      <c r="L34" s="18"/>
      <c r="M34" s="64">
        <f t="shared" si="0"/>
        <v>76.38902527643026</v>
      </c>
      <c r="N34" s="182">
        <v>125</v>
      </c>
      <c r="O34" s="66"/>
      <c r="P34" s="130"/>
      <c r="Q34" s="130"/>
      <c r="R34" s="130"/>
      <c r="S34" s="20"/>
    </row>
    <row r="35" spans="1:18" ht="12.75">
      <c r="A35" s="8" t="s">
        <v>20</v>
      </c>
      <c r="B35" s="30"/>
      <c r="C35" s="27"/>
      <c r="D35" s="9">
        <v>629</v>
      </c>
      <c r="E35" s="9">
        <v>73055</v>
      </c>
      <c r="F35" s="9">
        <v>63842</v>
      </c>
      <c r="G35" s="9">
        <v>75800</v>
      </c>
      <c r="H35" s="9">
        <v>90961</v>
      </c>
      <c r="I35" s="9"/>
      <c r="J35" s="9"/>
      <c r="K35" s="9"/>
      <c r="L35" s="18"/>
      <c r="M35" s="64">
        <f t="shared" si="0"/>
        <v>120.00131926121371</v>
      </c>
      <c r="N35" s="182">
        <v>72</v>
      </c>
      <c r="O35" s="66"/>
      <c r="P35" s="130"/>
      <c r="Q35" s="130"/>
      <c r="R35" s="130"/>
    </row>
    <row r="36" spans="1:18" ht="12.75">
      <c r="A36" s="8" t="s">
        <v>21</v>
      </c>
      <c r="B36" s="30"/>
      <c r="C36" s="27"/>
      <c r="D36" s="9">
        <v>11208</v>
      </c>
      <c r="E36" s="9">
        <v>203543</v>
      </c>
      <c r="F36" s="9">
        <v>220645</v>
      </c>
      <c r="G36" s="9">
        <v>258402</v>
      </c>
      <c r="H36" s="9">
        <v>324895</v>
      </c>
      <c r="I36" s="9"/>
      <c r="J36" s="9"/>
      <c r="K36" s="9"/>
      <c r="L36" s="18"/>
      <c r="M36" s="64">
        <f t="shared" si="0"/>
        <v>125.73238597224478</v>
      </c>
      <c r="N36" s="182">
        <v>593</v>
      </c>
      <c r="O36" s="66"/>
      <c r="P36" s="130"/>
      <c r="Q36" s="130"/>
      <c r="R36" s="130"/>
    </row>
    <row r="37" spans="1:18" ht="12.75" hidden="1">
      <c r="A37" s="8" t="s">
        <v>22</v>
      </c>
      <c r="B37" s="30"/>
      <c r="C37" s="27"/>
      <c r="D37" s="9">
        <v>1058</v>
      </c>
      <c r="E37" s="9">
        <v>14784</v>
      </c>
      <c r="F37" s="9">
        <v>22828</v>
      </c>
      <c r="G37" s="9"/>
      <c r="H37" s="9"/>
      <c r="I37" s="9"/>
      <c r="J37" s="9"/>
      <c r="K37" s="9"/>
      <c r="L37" s="18"/>
      <c r="M37" s="64" t="e">
        <f t="shared" si="0"/>
        <v>#DIV/0!</v>
      </c>
      <c r="N37" s="182"/>
      <c r="O37" s="66"/>
      <c r="P37" s="130"/>
      <c r="Q37" s="130"/>
      <c r="R37" s="130"/>
    </row>
    <row r="38" spans="1:18" ht="12.75">
      <c r="A38" s="8" t="s">
        <v>23</v>
      </c>
      <c r="B38" s="30"/>
      <c r="C38" s="27"/>
      <c r="D38" s="9">
        <v>6056</v>
      </c>
      <c r="E38" s="9">
        <v>137568</v>
      </c>
      <c r="F38" s="9">
        <v>107151</v>
      </c>
      <c r="G38" s="9">
        <v>107269</v>
      </c>
      <c r="H38" s="9">
        <v>105892</v>
      </c>
      <c r="I38" s="9"/>
      <c r="J38" s="9"/>
      <c r="K38" s="9"/>
      <c r="L38" s="18"/>
      <c r="M38" s="64">
        <f t="shared" si="0"/>
        <v>98.71631132946145</v>
      </c>
      <c r="N38" s="182">
        <v>233</v>
      </c>
      <c r="O38" s="66"/>
      <c r="P38" s="130"/>
      <c r="Q38" s="130"/>
      <c r="R38" s="130"/>
    </row>
    <row r="39" spans="1:18" ht="12.75" hidden="1">
      <c r="A39" s="8" t="s">
        <v>24</v>
      </c>
      <c r="B39" s="30"/>
      <c r="C39" s="27"/>
      <c r="D39" s="9">
        <v>4043</v>
      </c>
      <c r="E39" s="9">
        <v>115784</v>
      </c>
      <c r="F39" s="9">
        <v>85513</v>
      </c>
      <c r="G39" s="9"/>
      <c r="H39" s="9"/>
      <c r="I39" s="9"/>
      <c r="J39" s="9"/>
      <c r="K39" s="9"/>
      <c r="L39" s="18"/>
      <c r="M39" s="64" t="e">
        <f t="shared" si="0"/>
        <v>#DIV/0!</v>
      </c>
      <c r="N39" s="182"/>
      <c r="O39" s="66"/>
      <c r="P39" s="130"/>
      <c r="Q39" s="130"/>
      <c r="R39" s="130"/>
    </row>
    <row r="40" spans="1:18" ht="12.75" hidden="1">
      <c r="A40" s="8" t="s">
        <v>25</v>
      </c>
      <c r="B40" s="30"/>
      <c r="C40" s="27"/>
      <c r="D40" s="9">
        <v>1627</v>
      </c>
      <c r="E40" s="9">
        <v>19141</v>
      </c>
      <c r="F40" s="9">
        <v>17838</v>
      </c>
      <c r="G40" s="9"/>
      <c r="H40" s="9"/>
      <c r="I40" s="9"/>
      <c r="J40" s="9"/>
      <c r="K40" s="9"/>
      <c r="L40" s="18"/>
      <c r="M40" s="64" t="e">
        <f t="shared" si="0"/>
        <v>#DIV/0!</v>
      </c>
      <c r="N40" s="182"/>
      <c r="O40" s="66"/>
      <c r="P40" s="130"/>
      <c r="Q40" s="130"/>
      <c r="R40" s="130"/>
    </row>
    <row r="41" spans="1:18" ht="12.75" hidden="1">
      <c r="A41" s="8" t="s">
        <v>26</v>
      </c>
      <c r="B41" s="30"/>
      <c r="C41" s="27"/>
      <c r="D41" s="9">
        <v>276</v>
      </c>
      <c r="E41" s="9">
        <v>1529</v>
      </c>
      <c r="F41" s="9">
        <v>2320</v>
      </c>
      <c r="G41" s="9"/>
      <c r="H41" s="9"/>
      <c r="I41" s="9"/>
      <c r="J41" s="9"/>
      <c r="K41" s="9"/>
      <c r="L41" s="18"/>
      <c r="M41" s="64" t="e">
        <f t="shared" si="0"/>
        <v>#DIV/0!</v>
      </c>
      <c r="N41" s="182"/>
      <c r="O41" s="66"/>
      <c r="P41" s="130"/>
      <c r="Q41" s="130"/>
      <c r="R41" s="130"/>
    </row>
    <row r="42" spans="1:18" ht="13.5" thickBot="1">
      <c r="A42" s="21" t="s">
        <v>27</v>
      </c>
      <c r="B42" s="46"/>
      <c r="C42" s="59"/>
      <c r="D42" s="22">
        <v>3277</v>
      </c>
      <c r="E42" s="22">
        <v>86789</v>
      </c>
      <c r="F42" s="88">
        <f>173475-1</f>
        <v>173474</v>
      </c>
      <c r="G42" s="22">
        <v>212871</v>
      </c>
      <c r="H42" s="22">
        <v>243032</v>
      </c>
      <c r="I42" s="22"/>
      <c r="J42" s="22"/>
      <c r="K42" s="22"/>
      <c r="L42" s="26"/>
      <c r="M42" s="188">
        <f t="shared" si="0"/>
        <v>114.16867492518944</v>
      </c>
      <c r="N42" s="196">
        <v>17</v>
      </c>
      <c r="O42" s="69"/>
      <c r="P42" s="105"/>
      <c r="Q42" s="105"/>
      <c r="R42" s="105"/>
    </row>
    <row r="43" spans="1:18" ht="12.75">
      <c r="A43" s="8" t="s">
        <v>28</v>
      </c>
      <c r="B43" s="30"/>
      <c r="C43" s="60"/>
      <c r="D43" s="9">
        <v>158</v>
      </c>
      <c r="E43" s="9">
        <v>2730</v>
      </c>
      <c r="F43" s="9">
        <v>2043</v>
      </c>
      <c r="G43" s="9">
        <v>2045</v>
      </c>
      <c r="H43" s="9">
        <v>2052</v>
      </c>
      <c r="I43" s="9"/>
      <c r="J43" s="9"/>
      <c r="K43" s="9"/>
      <c r="L43" s="18"/>
      <c r="M43" s="64">
        <f t="shared" si="0"/>
        <v>100.34229828850856</v>
      </c>
      <c r="N43" s="182">
        <v>5</v>
      </c>
      <c r="O43" s="66"/>
      <c r="P43" s="130"/>
      <c r="Q43" s="130"/>
      <c r="R43" s="130"/>
    </row>
    <row r="44" spans="1:18" ht="12.75">
      <c r="A44" s="4" t="s">
        <v>30</v>
      </c>
      <c r="B44" s="28" t="e">
        <f aca="true" t="shared" si="6" ref="B44:N44">ROUND(B27/B43/12*1000,0)</f>
        <v>#DIV/0!</v>
      </c>
      <c r="C44" s="27" t="e">
        <f t="shared" si="6"/>
        <v>#DIV/0!</v>
      </c>
      <c r="D44" s="9">
        <f t="shared" si="6"/>
        <v>23922</v>
      </c>
      <c r="E44" s="9">
        <f t="shared" si="6"/>
        <v>21530</v>
      </c>
      <c r="F44" s="9">
        <f t="shared" si="6"/>
        <v>22079</v>
      </c>
      <c r="G44" s="18">
        <f t="shared" si="6"/>
        <v>22895</v>
      </c>
      <c r="H44" s="18">
        <f>ROUND(H27/H43/12*1000,0)</f>
        <v>24021</v>
      </c>
      <c r="I44" s="18"/>
      <c r="J44" s="18"/>
      <c r="K44" s="18"/>
      <c r="L44" s="18"/>
      <c r="M44" s="64">
        <f t="shared" si="0"/>
        <v>104.91810438960472</v>
      </c>
      <c r="N44" s="182">
        <f t="shared" si="6"/>
        <v>68617</v>
      </c>
      <c r="O44" s="66"/>
      <c r="P44" s="130"/>
      <c r="Q44" s="130"/>
      <c r="R44" s="130"/>
    </row>
    <row r="45" spans="1:18" ht="12.75" hidden="1">
      <c r="A45" s="106" t="s">
        <v>31</v>
      </c>
      <c r="B45" s="24"/>
      <c r="C45" s="59"/>
      <c r="D45" s="11">
        <f>SUM(MF!B63)</f>
        <v>0</v>
      </c>
      <c r="E45" s="11"/>
      <c r="F45" s="11"/>
      <c r="G45" s="37"/>
      <c r="H45" s="37"/>
      <c r="I45" s="37"/>
      <c r="J45" s="37"/>
      <c r="K45" s="37"/>
      <c r="L45" s="37"/>
      <c r="M45" s="189" t="e">
        <f t="shared" si="0"/>
        <v>#DIV/0!</v>
      </c>
      <c r="N45" s="184"/>
      <c r="O45" s="70"/>
      <c r="P45" s="126"/>
      <c r="Q45" s="126"/>
      <c r="R45" s="126"/>
    </row>
    <row r="46" spans="1:18" ht="13.5" thickBot="1">
      <c r="A46" s="21" t="s">
        <v>29</v>
      </c>
      <c r="B46" s="46" t="e">
        <f aca="true" t="shared" si="7" ref="B46:H46">B32/B43*1000</f>
        <v>#DIV/0!</v>
      </c>
      <c r="C46" s="26" t="e">
        <f t="shared" si="7"/>
        <v>#DIV/0!</v>
      </c>
      <c r="D46" s="22">
        <f t="shared" si="7"/>
        <v>186506.32911392403</v>
      </c>
      <c r="E46" s="22">
        <f t="shared" si="7"/>
        <v>205131.86813186813</v>
      </c>
      <c r="F46" s="22">
        <f t="shared" si="7"/>
        <v>308790.9936368086</v>
      </c>
      <c r="G46" s="26">
        <f t="shared" si="7"/>
        <v>344869.92665036675</v>
      </c>
      <c r="H46" s="79">
        <f t="shared" si="7"/>
        <v>391654.4834307993</v>
      </c>
      <c r="I46" s="79"/>
      <c r="J46" s="79"/>
      <c r="K46" s="79"/>
      <c r="L46" s="79"/>
      <c r="M46" s="190">
        <f t="shared" si="0"/>
        <v>113.56585575171454</v>
      </c>
      <c r="N46" s="201">
        <f>N32/N43*1000</f>
        <v>208000</v>
      </c>
      <c r="O46" s="71"/>
      <c r="P46" s="133"/>
      <c r="Q46" s="133"/>
      <c r="R46" s="133"/>
    </row>
  </sheetData>
  <printOptions/>
  <pageMargins left="0.5905511811023623" right="0.7874015748031497" top="0.9055118110236221" bottom="0.1968503937007874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47"/>
  <sheetViews>
    <sheetView workbookViewId="0" topLeftCell="A1">
      <selection activeCell="T32" sqref="T32"/>
    </sheetView>
  </sheetViews>
  <sheetFormatPr defaultColWidth="9.125" defaultRowHeight="12.75"/>
  <cols>
    <col min="1" max="1" width="33.375" style="2" customWidth="1"/>
    <col min="2" max="2" width="15.00390625" style="2" hidden="1" customWidth="1"/>
    <col min="3" max="3" width="12.625" style="2" hidden="1" customWidth="1"/>
    <col min="4" max="6" width="12.75390625" style="20" hidden="1" customWidth="1"/>
    <col min="7" max="7" width="12.00390625" style="20" hidden="1" customWidth="1"/>
    <col min="8" max="8" width="11.00390625" style="20" hidden="1" customWidth="1"/>
    <col min="9" max="9" width="12.00390625" style="20" customWidth="1"/>
    <col min="10" max="12" width="11.625" style="20" customWidth="1"/>
    <col min="13" max="13" width="9.125" style="2" hidden="1" customWidth="1"/>
    <col min="14" max="14" width="11.375" style="2" customWidth="1"/>
    <col min="15" max="16384" width="9.125" style="2" customWidth="1"/>
  </cols>
  <sheetData>
    <row r="1" spans="1:12" ht="12.75">
      <c r="A1" s="1" t="s">
        <v>62</v>
      </c>
      <c r="B1" s="1"/>
      <c r="C1" s="1"/>
      <c r="D1" s="19"/>
      <c r="E1" s="19"/>
      <c r="F1" s="19"/>
      <c r="G1" s="19"/>
      <c r="H1" s="19"/>
      <c r="I1" s="19"/>
      <c r="J1" s="19"/>
      <c r="K1" s="19"/>
      <c r="L1" s="19"/>
    </row>
    <row r="2" ht="12.75" hidden="1"/>
    <row r="3" ht="13.5" thickBot="1">
      <c r="A3" s="2" t="s">
        <v>63</v>
      </c>
    </row>
    <row r="4" spans="1:18" ht="12.75">
      <c r="A4" s="3"/>
      <c r="B4" s="31">
        <v>2000</v>
      </c>
      <c r="C4" s="34">
        <v>2001</v>
      </c>
      <c r="D4" s="34">
        <v>2002</v>
      </c>
      <c r="E4" s="34">
        <v>2003</v>
      </c>
      <c r="F4" s="34">
        <v>2004</v>
      </c>
      <c r="G4" s="34">
        <v>2005</v>
      </c>
      <c r="H4" s="34">
        <v>2006</v>
      </c>
      <c r="I4" s="34">
        <v>2007</v>
      </c>
      <c r="J4" s="34">
        <v>2008</v>
      </c>
      <c r="K4" s="80">
        <v>2009</v>
      </c>
      <c r="L4" s="34">
        <v>2010</v>
      </c>
      <c r="M4" s="174" t="s">
        <v>32</v>
      </c>
      <c r="N4" s="172">
        <v>2011</v>
      </c>
      <c r="O4" s="167" t="s">
        <v>32</v>
      </c>
      <c r="P4" s="121" t="s">
        <v>32</v>
      </c>
      <c r="Q4" s="121" t="s">
        <v>32</v>
      </c>
      <c r="R4" s="121" t="s">
        <v>32</v>
      </c>
    </row>
    <row r="5" spans="1:18" ht="12.75">
      <c r="A5" s="4" t="s">
        <v>0</v>
      </c>
      <c r="B5" s="32" t="s">
        <v>1</v>
      </c>
      <c r="C5" s="35" t="s">
        <v>1</v>
      </c>
      <c r="D5" s="35" t="s">
        <v>1</v>
      </c>
      <c r="E5" s="35" t="s">
        <v>1</v>
      </c>
      <c r="F5" s="35" t="s">
        <v>1</v>
      </c>
      <c r="G5" s="35" t="s">
        <v>1</v>
      </c>
      <c r="H5" s="35" t="s">
        <v>1</v>
      </c>
      <c r="I5" s="35" t="s">
        <v>1</v>
      </c>
      <c r="J5" s="35" t="s">
        <v>1</v>
      </c>
      <c r="K5" s="35" t="s">
        <v>1</v>
      </c>
      <c r="L5" s="35" t="s">
        <v>1</v>
      </c>
      <c r="M5" s="35" t="s">
        <v>49</v>
      </c>
      <c r="N5" s="49" t="s">
        <v>1</v>
      </c>
      <c r="O5" s="168" t="s">
        <v>48</v>
      </c>
      <c r="P5" s="122" t="s">
        <v>44</v>
      </c>
      <c r="Q5" s="122" t="s">
        <v>51</v>
      </c>
      <c r="R5" s="122" t="s">
        <v>60</v>
      </c>
    </row>
    <row r="6" spans="1:18" ht="13.5" thickBot="1">
      <c r="A6" s="5"/>
      <c r="B6" s="33" t="s">
        <v>34</v>
      </c>
      <c r="C6" s="74" t="s">
        <v>34</v>
      </c>
      <c r="D6" s="36" t="s">
        <v>34</v>
      </c>
      <c r="E6" s="33" t="s">
        <v>34</v>
      </c>
      <c r="F6" s="33" t="s">
        <v>34</v>
      </c>
      <c r="G6" s="36" t="s">
        <v>40</v>
      </c>
      <c r="H6" s="36" t="s">
        <v>40</v>
      </c>
      <c r="I6" s="36" t="s">
        <v>40</v>
      </c>
      <c r="J6" s="36" t="s">
        <v>40</v>
      </c>
      <c r="K6" s="36" t="s">
        <v>40</v>
      </c>
      <c r="L6" s="36" t="s">
        <v>40</v>
      </c>
      <c r="M6" s="175" t="s">
        <v>50</v>
      </c>
      <c r="N6" s="173" t="s">
        <v>40</v>
      </c>
      <c r="O6" s="169" t="s">
        <v>42</v>
      </c>
      <c r="P6" s="123" t="s">
        <v>45</v>
      </c>
      <c r="Q6" s="123" t="s">
        <v>52</v>
      </c>
      <c r="R6" s="123" t="s">
        <v>61</v>
      </c>
    </row>
    <row r="7" spans="1:18" ht="13.5" thickBot="1">
      <c r="A7" s="5" t="s">
        <v>2</v>
      </c>
      <c r="B7" s="51">
        <v>1</v>
      </c>
      <c r="C7" s="36">
        <v>2</v>
      </c>
      <c r="D7" s="36">
        <v>3</v>
      </c>
      <c r="E7" s="36">
        <v>4</v>
      </c>
      <c r="F7" s="36"/>
      <c r="G7" s="36">
        <v>1</v>
      </c>
      <c r="H7" s="36">
        <v>1</v>
      </c>
      <c r="I7" s="36">
        <v>1</v>
      </c>
      <c r="J7" s="36">
        <v>2</v>
      </c>
      <c r="K7" s="36">
        <v>3</v>
      </c>
      <c r="L7" s="36">
        <v>4</v>
      </c>
      <c r="M7" s="36" t="s">
        <v>33</v>
      </c>
      <c r="N7" s="173">
        <v>5</v>
      </c>
      <c r="O7" s="50" t="s">
        <v>54</v>
      </c>
      <c r="P7" s="50" t="s">
        <v>55</v>
      </c>
      <c r="Q7" s="50" t="s">
        <v>35</v>
      </c>
      <c r="R7" s="50" t="s">
        <v>36</v>
      </c>
    </row>
    <row r="8" spans="1:18" ht="12.75">
      <c r="A8" s="90" t="s">
        <v>38</v>
      </c>
      <c r="B8" s="89"/>
      <c r="C8" s="35"/>
      <c r="D8" s="35"/>
      <c r="E8" s="78"/>
      <c r="F8" s="101">
        <f>SUM(MF:GŘC!F8)</f>
        <v>1126287</v>
      </c>
      <c r="G8" s="102">
        <f>G9+G12+G13+G14+G15</f>
        <v>1395452</v>
      </c>
      <c r="H8" s="102">
        <f>H9+H12+H13+H14+H15</f>
        <v>939303</v>
      </c>
      <c r="I8" s="102">
        <f>I9+I12+I13+I14+I15</f>
        <v>813058</v>
      </c>
      <c r="J8" s="102">
        <f>SUM(MF:GŘC!J8)</f>
        <v>3256778</v>
      </c>
      <c r="K8" s="102">
        <f>SUM(MF:GŘC!K8)</f>
        <v>5563078</v>
      </c>
      <c r="L8" s="102">
        <f>SUM(MF:GŘC!L8)</f>
        <v>4931107.242000001</v>
      </c>
      <c r="M8" s="176">
        <f>H8/G8*100</f>
        <v>67.31173841880623</v>
      </c>
      <c r="N8" s="197">
        <f>SUM(MF:GŘC!N8)</f>
        <v>4123281</v>
      </c>
      <c r="O8" s="103">
        <f>J8/I8*100</f>
        <v>400.55912370335204</v>
      </c>
      <c r="P8" s="103">
        <f>K8/J8*100</f>
        <v>170.81538870626122</v>
      </c>
      <c r="Q8" s="103">
        <f>L8/K8*100</f>
        <v>88.63990837446465</v>
      </c>
      <c r="R8" s="103">
        <f>N8/L8*100</f>
        <v>83.61775150377068</v>
      </c>
    </row>
    <row r="9" spans="1:18" ht="12.75">
      <c r="A9" s="135" t="s">
        <v>56</v>
      </c>
      <c r="B9" s="94"/>
      <c r="C9" s="95"/>
      <c r="D9" s="95"/>
      <c r="E9" s="96"/>
      <c r="F9" s="97">
        <f>SUM(MF:GŘC!F9)</f>
        <v>621555</v>
      </c>
      <c r="G9" s="98">
        <f>SUM(MF:GŘC!G9)</f>
        <v>0</v>
      </c>
      <c r="H9" s="98">
        <f>SUM(MF:GŘC!H9)</f>
        <v>0</v>
      </c>
      <c r="I9" s="98">
        <f>SUM(MF:GŘC!I9)</f>
        <v>0</v>
      </c>
      <c r="J9" s="98">
        <f>SUM(MF:GŘC!J9)</f>
        <v>0</v>
      </c>
      <c r="K9" s="98">
        <f>SUM(MF:GŘC!K9)</f>
        <v>1490441</v>
      </c>
      <c r="L9" s="98">
        <f>SUM(MF:GŘC!L9)</f>
        <v>1494522</v>
      </c>
      <c r="M9" s="191"/>
      <c r="N9" s="177">
        <f>SUM(MF:GŘC!N9)</f>
        <v>1383569</v>
      </c>
      <c r="O9" s="104" t="e">
        <f aca="true" t="shared" si="0" ref="O9:O46">J9/I9*100</f>
        <v>#DIV/0!</v>
      </c>
      <c r="P9" s="104" t="e">
        <f aca="true" t="shared" si="1" ref="P9:P46">K9/J9*100</f>
        <v>#DIV/0!</v>
      </c>
      <c r="Q9" s="104">
        <f aca="true" t="shared" si="2" ref="Q9:Q46">L9/K9*100</f>
        <v>100.27381157657365</v>
      </c>
      <c r="R9" s="104">
        <f aca="true" t="shared" si="3" ref="R9:R46">N9/L9*100</f>
        <v>92.57602096188614</v>
      </c>
    </row>
    <row r="10" spans="1:18" ht="12.75">
      <c r="A10" s="142" t="s">
        <v>53</v>
      </c>
      <c r="B10" s="89"/>
      <c r="C10" s="35"/>
      <c r="D10" s="35"/>
      <c r="E10" s="78"/>
      <c r="F10" s="125"/>
      <c r="G10" s="111">
        <f>SUM(MF:GŘC!G10)</f>
        <v>0</v>
      </c>
      <c r="H10" s="111">
        <f>SUM(MF:GŘC!H10)</f>
        <v>617695</v>
      </c>
      <c r="I10" s="111">
        <f>SUM(MF:GŘC!I10)</f>
        <v>644814</v>
      </c>
      <c r="J10" s="111">
        <f>SUM(MF:GŘC!J10)</f>
        <v>648551</v>
      </c>
      <c r="K10" s="111">
        <f>SUM(MF:GŘC!K10)</f>
        <v>642528</v>
      </c>
      <c r="L10" s="111">
        <f>SUM(MF:GŘC!L10)</f>
        <v>589132</v>
      </c>
      <c r="M10" s="178"/>
      <c r="N10" s="179">
        <f>SUM(MF:GŘC!N10)</f>
        <v>541314</v>
      </c>
      <c r="O10" s="113">
        <f t="shared" si="0"/>
        <v>100.57954697013403</v>
      </c>
      <c r="P10" s="113">
        <f t="shared" si="1"/>
        <v>99.07131436078272</v>
      </c>
      <c r="Q10" s="113">
        <f t="shared" si="2"/>
        <v>91.6897006823049</v>
      </c>
      <c r="R10" s="113">
        <f t="shared" si="3"/>
        <v>91.8833130775446</v>
      </c>
    </row>
    <row r="11" spans="1:18" ht="12.75">
      <c r="A11" s="142" t="s">
        <v>57</v>
      </c>
      <c r="B11" s="89"/>
      <c r="C11" s="35"/>
      <c r="D11" s="35"/>
      <c r="E11" s="78"/>
      <c r="F11" s="125"/>
      <c r="G11" s="111">
        <f>SUM(MF:GŘC!G11)</f>
        <v>0</v>
      </c>
      <c r="H11" s="111">
        <f>SUM(MF:GŘC!H11)</f>
        <v>0</v>
      </c>
      <c r="I11" s="111">
        <f>SUM(MF:GŘC!I11)</f>
        <v>0</v>
      </c>
      <c r="J11" s="111">
        <f>SUM(MF:GŘC!J11)</f>
        <v>0</v>
      </c>
      <c r="K11" s="111">
        <f>SUM(MF:GŘC!K11)</f>
        <v>1574855</v>
      </c>
      <c r="L11" s="111">
        <f>SUM(MF:GŘC!L11)</f>
        <v>1417825</v>
      </c>
      <c r="M11" s="178"/>
      <c r="N11" s="179">
        <f>SUM(MF:GŘC!N11)</f>
        <v>1195860</v>
      </c>
      <c r="O11" s="113" t="e">
        <f t="shared" si="0"/>
        <v>#DIV/0!</v>
      </c>
      <c r="P11" s="113" t="e">
        <f t="shared" si="1"/>
        <v>#DIV/0!</v>
      </c>
      <c r="Q11" s="113">
        <f t="shared" si="2"/>
        <v>90.02892329770043</v>
      </c>
      <c r="R11" s="113">
        <f t="shared" si="3"/>
        <v>84.34468287694179</v>
      </c>
    </row>
    <row r="12" spans="1:18" ht="12.75">
      <c r="A12" s="149" t="s">
        <v>46</v>
      </c>
      <c r="B12" s="107"/>
      <c r="C12" s="108"/>
      <c r="D12" s="59"/>
      <c r="E12" s="109"/>
      <c r="F12" s="110">
        <f>SUM(MF:GŘC!F12)</f>
        <v>504732</v>
      </c>
      <c r="G12" s="111">
        <f>SUM(MF:GŘC!G12)</f>
        <v>874970</v>
      </c>
      <c r="H12" s="111">
        <f>SUM(MF:GŘC!H12)</f>
        <v>239743</v>
      </c>
      <c r="I12" s="111">
        <f>SUM(MF:GŘC!I12)</f>
        <v>183945</v>
      </c>
      <c r="J12" s="111">
        <f>SUM(MF:GŘC!J12)</f>
        <v>1939809</v>
      </c>
      <c r="K12" s="111">
        <f>SUM(MF:GŘC!K12)</f>
        <v>1748470</v>
      </c>
      <c r="L12" s="111">
        <f>SUM(MF:GŘC!L12)</f>
        <v>1263048.242</v>
      </c>
      <c r="M12" s="178">
        <f aca="true" t="shared" si="4" ref="M12:M46">H12/G12*100</f>
        <v>27.400139433352</v>
      </c>
      <c r="N12" s="179">
        <f>SUM(MF:GŘC!N12)</f>
        <v>786750</v>
      </c>
      <c r="O12" s="113">
        <f t="shared" si="0"/>
        <v>1054.559243252059</v>
      </c>
      <c r="P12" s="113">
        <f t="shared" si="1"/>
        <v>90.13619382114425</v>
      </c>
      <c r="Q12" s="113">
        <f t="shared" si="2"/>
        <v>72.23734133270803</v>
      </c>
      <c r="R12" s="113">
        <f t="shared" si="3"/>
        <v>62.28978227737401</v>
      </c>
    </row>
    <row r="13" spans="1:18" ht="12.75">
      <c r="A13" s="106" t="s">
        <v>43</v>
      </c>
      <c r="B13" s="107"/>
      <c r="C13" s="108"/>
      <c r="D13" s="59"/>
      <c r="E13" s="109"/>
      <c r="F13" s="110"/>
      <c r="G13" s="111">
        <f>SUM(MF:GŘC!G13)</f>
        <v>520482</v>
      </c>
      <c r="H13" s="111">
        <f>SUM(MF:GŘC!H13)</f>
        <v>699560</v>
      </c>
      <c r="I13" s="111">
        <f>SUM(MF:GŘC!I13)</f>
        <v>628837</v>
      </c>
      <c r="J13" s="111">
        <v>0</v>
      </c>
      <c r="K13" s="111">
        <v>0</v>
      </c>
      <c r="L13" s="111">
        <v>0</v>
      </c>
      <c r="M13" s="178">
        <f t="shared" si="4"/>
        <v>134.40618503617802</v>
      </c>
      <c r="N13" s="179">
        <f>SUM(MF:GŘC!N13)</f>
        <v>16105</v>
      </c>
      <c r="O13" s="113">
        <f t="shared" si="0"/>
        <v>0</v>
      </c>
      <c r="P13" s="113" t="e">
        <f t="shared" si="1"/>
        <v>#DIV/0!</v>
      </c>
      <c r="Q13" s="113" t="e">
        <f t="shared" si="2"/>
        <v>#DIV/0!</v>
      </c>
      <c r="R13" s="113" t="e">
        <f t="shared" si="3"/>
        <v>#DIV/0!</v>
      </c>
    </row>
    <row r="14" spans="1:18" ht="12.75">
      <c r="A14" s="106" t="s">
        <v>41</v>
      </c>
      <c r="B14" s="107"/>
      <c r="C14" s="108"/>
      <c r="D14" s="59"/>
      <c r="E14" s="109"/>
      <c r="F14" s="110"/>
      <c r="G14" s="111">
        <f>SUM(MF:GŘC!G14)</f>
        <v>0</v>
      </c>
      <c r="H14" s="111">
        <f>SUM(MF:GŘC!H14)</f>
        <v>0</v>
      </c>
      <c r="I14" s="111">
        <f>SUM(MF:GŘC!I14)</f>
        <v>276</v>
      </c>
      <c r="J14" s="111">
        <f>SUM(MF:GŘC!J14)</f>
        <v>6936</v>
      </c>
      <c r="K14" s="111">
        <f>SUM(MF:GŘC!K14)</f>
        <v>20764</v>
      </c>
      <c r="L14" s="111">
        <f>SUM(MF:GŘC!L14)</f>
        <v>20461</v>
      </c>
      <c r="M14" s="111"/>
      <c r="N14" s="179">
        <f>SUM(MF:GŘC!N14)</f>
        <v>20674</v>
      </c>
      <c r="O14" s="113">
        <f t="shared" si="0"/>
        <v>2513.0434782608695</v>
      </c>
      <c r="P14" s="113">
        <f t="shared" si="1"/>
        <v>299.3656286043829</v>
      </c>
      <c r="Q14" s="113">
        <f t="shared" si="2"/>
        <v>98.54074359468311</v>
      </c>
      <c r="R14" s="113">
        <f t="shared" si="3"/>
        <v>101.0410048384732</v>
      </c>
    </row>
    <row r="15" spans="1:18" ht="13.5" thickBot="1">
      <c r="A15" s="21" t="s">
        <v>47</v>
      </c>
      <c r="B15" s="91"/>
      <c r="C15" s="92"/>
      <c r="D15" s="26"/>
      <c r="E15" s="22"/>
      <c r="F15" s="99"/>
      <c r="G15" s="100">
        <f>SUM(MF:GŘC!G15)</f>
        <v>0</v>
      </c>
      <c r="H15" s="100">
        <f>SUM(MF:GŘC!H15)</f>
        <v>0</v>
      </c>
      <c r="I15" s="100">
        <f>SUM(MF:GŘC!I15)</f>
        <v>0</v>
      </c>
      <c r="J15" s="100">
        <f>SUM(MF:GŘC!J15)</f>
        <v>0</v>
      </c>
      <c r="K15" s="100">
        <f>SUM(MF:GŘC!K15)</f>
        <v>47945</v>
      </c>
      <c r="L15" s="100">
        <f>SUM(MF:GŘC!L15)</f>
        <v>118186</v>
      </c>
      <c r="M15" s="100"/>
      <c r="N15" s="193">
        <f>SUM(MF:GŘC!N15)</f>
        <v>179009</v>
      </c>
      <c r="O15" s="105" t="e">
        <f t="shared" si="0"/>
        <v>#DIV/0!</v>
      </c>
      <c r="P15" s="105" t="e">
        <f t="shared" si="1"/>
        <v>#DIV/0!</v>
      </c>
      <c r="Q15" s="105">
        <f t="shared" si="2"/>
        <v>246.5032850140786</v>
      </c>
      <c r="R15" s="105">
        <f t="shared" si="3"/>
        <v>151.4637943580458</v>
      </c>
    </row>
    <row r="16" spans="1:18" ht="12.75">
      <c r="A16" s="6" t="s">
        <v>3</v>
      </c>
      <c r="B16" s="42">
        <f>SUM(MF:GŘC!B15)</f>
        <v>0</v>
      </c>
      <c r="C16" s="38">
        <f>SUM(MF:GŘC!C15)</f>
        <v>0</v>
      </c>
      <c r="D16" s="38">
        <f>SUM(MF:GŘC!D15)</f>
        <v>0</v>
      </c>
      <c r="E16" s="7">
        <f>SUM(MF:GŘC!E15)-1</f>
        <v>-1</v>
      </c>
      <c r="F16" s="7">
        <f>SUM(MF:GŘC!F15)</f>
        <v>0</v>
      </c>
      <c r="G16" s="38">
        <f>SUM(MF:GŘC!G16)</f>
        <v>14300926</v>
      </c>
      <c r="H16" s="38">
        <f>SUM(MF:GŘC!H16)</f>
        <v>14524237</v>
      </c>
      <c r="I16" s="38">
        <f>SUM(MF:GŘC!I16)</f>
        <v>15368865</v>
      </c>
      <c r="J16" s="38">
        <f>SUM(MF:GŘC!J16)</f>
        <v>15502517</v>
      </c>
      <c r="K16" s="38">
        <f>SUM(MF:GŘC!K16)</f>
        <v>16952470</v>
      </c>
      <c r="L16" s="38">
        <f>SUM(MF:GŘC!L16)</f>
        <v>15085291</v>
      </c>
      <c r="M16" s="181">
        <f t="shared" si="4"/>
        <v>101.56151426837674</v>
      </c>
      <c r="N16" s="198">
        <f>SUM(MF:GŘC!N16)</f>
        <v>14961624</v>
      </c>
      <c r="O16" s="65">
        <f t="shared" si="0"/>
        <v>100.86962830371664</v>
      </c>
      <c r="P16" s="65">
        <f t="shared" si="1"/>
        <v>109.3530166746471</v>
      </c>
      <c r="Q16" s="65">
        <f t="shared" si="2"/>
        <v>88.98579970942288</v>
      </c>
      <c r="R16" s="65">
        <f t="shared" si="3"/>
        <v>99.18021468727385</v>
      </c>
    </row>
    <row r="17" spans="1:18" ht="12.75">
      <c r="A17" s="8" t="s">
        <v>4</v>
      </c>
      <c r="B17" s="30"/>
      <c r="C17" s="53"/>
      <c r="D17" s="18"/>
      <c r="E17" s="9"/>
      <c r="F17" s="9"/>
      <c r="G17" s="18"/>
      <c r="H17" s="18"/>
      <c r="I17" s="18"/>
      <c r="J17" s="18"/>
      <c r="K17" s="18"/>
      <c r="L17" s="18"/>
      <c r="M17" s="18"/>
      <c r="N17" s="182"/>
      <c r="O17" s="66"/>
      <c r="P17" s="66"/>
      <c r="Q17" s="66"/>
      <c r="R17" s="66"/>
    </row>
    <row r="18" spans="1:18" ht="12.75">
      <c r="A18" s="6" t="s">
        <v>5</v>
      </c>
      <c r="B18" s="42">
        <f>SUM(MF:GŘC!B17)</f>
        <v>0</v>
      </c>
      <c r="C18" s="54">
        <f>SUM(MF:GŘC!C17)</f>
        <v>0</v>
      </c>
      <c r="D18" s="38">
        <f>SUM(MF:GŘC!D17)</f>
        <v>0</v>
      </c>
      <c r="E18" s="7">
        <f>SUM(MF:GŘC!E17)-1</f>
        <v>-1</v>
      </c>
      <c r="F18" s="7">
        <f>SUM(MF:GŘC!F17)</f>
        <v>0</v>
      </c>
      <c r="G18" s="38">
        <f>SUM(MF:GŘC!G18)</f>
        <v>1487930</v>
      </c>
      <c r="H18" s="38">
        <f>SUM(MF:GŘC!H18)</f>
        <v>1401287</v>
      </c>
      <c r="I18" s="38">
        <f>SUM(MF:GŘC!I18)</f>
        <v>1587277</v>
      </c>
      <c r="J18" s="38">
        <f>SUM(MF:GŘC!J18)</f>
        <v>1299295</v>
      </c>
      <c r="K18" s="38">
        <f>SUM(MF:GŘC!K18)</f>
        <v>2362006</v>
      </c>
      <c r="L18" s="38">
        <f>SUM(MF:GŘC!L18)</f>
        <v>1275232</v>
      </c>
      <c r="M18" s="181">
        <f t="shared" si="4"/>
        <v>94.17694380784042</v>
      </c>
      <c r="N18" s="198">
        <f>SUM(MF:GŘC!N18)</f>
        <v>1605791</v>
      </c>
      <c r="O18" s="65">
        <f t="shared" si="0"/>
        <v>81.8568529626524</v>
      </c>
      <c r="P18" s="65">
        <f t="shared" si="1"/>
        <v>181.7913560815673</v>
      </c>
      <c r="Q18" s="65">
        <f t="shared" si="2"/>
        <v>53.989363278501415</v>
      </c>
      <c r="R18" s="65">
        <f t="shared" si="3"/>
        <v>125.92147938571176</v>
      </c>
    </row>
    <row r="19" spans="1:18" ht="12.75">
      <c r="A19" s="8" t="s">
        <v>6</v>
      </c>
      <c r="B19" s="30"/>
      <c r="C19" s="55"/>
      <c r="D19" s="18"/>
      <c r="E19" s="9"/>
      <c r="F19" s="9"/>
      <c r="G19" s="18"/>
      <c r="H19" s="18">
        <f>SUM(MF:GŘC!H19)</f>
        <v>0</v>
      </c>
      <c r="I19" s="18">
        <f>SUM(MF:GŘC!I19)</f>
        <v>0</v>
      </c>
      <c r="J19" s="18"/>
      <c r="K19" s="18"/>
      <c r="L19" s="18"/>
      <c r="M19" s="18"/>
      <c r="N19" s="182"/>
      <c r="O19" s="66"/>
      <c r="P19" s="66"/>
      <c r="Q19" s="66"/>
      <c r="R19" s="66"/>
    </row>
    <row r="20" spans="1:18" ht="12.75">
      <c r="A20" s="8" t="s">
        <v>7</v>
      </c>
      <c r="B20" s="30">
        <f>SUM(MF:GŘC!B19)</f>
        <v>0</v>
      </c>
      <c r="C20" s="53">
        <f>SUM(MF:GŘC!C19)</f>
        <v>0</v>
      </c>
      <c r="D20" s="18">
        <f>SUM(MF:GŘC!D19)</f>
        <v>0</v>
      </c>
      <c r="E20" s="9">
        <f>SUM(MF:GŘC!E19)</f>
        <v>0</v>
      </c>
      <c r="F20" s="9">
        <f>SUM(MF:GŘC!F19)</f>
        <v>0</v>
      </c>
      <c r="G20" s="18">
        <f>SUM(MF:GŘC!G20)</f>
        <v>461449</v>
      </c>
      <c r="H20" s="18">
        <f>SUM(MF:GŘC!H20)</f>
        <v>536029</v>
      </c>
      <c r="I20" s="18">
        <f>SUM(MF:GŘC!I20)</f>
        <v>617381</v>
      </c>
      <c r="J20" s="18">
        <f>SUM(MF:GŘC!J20)</f>
        <v>574327</v>
      </c>
      <c r="K20" s="18">
        <f>SUM(MF:GŘC!K20)</f>
        <v>1709060</v>
      </c>
      <c r="L20" s="18">
        <f>SUM(MF:GŘC!L20)</f>
        <v>857436</v>
      </c>
      <c r="M20" s="64">
        <f t="shared" si="4"/>
        <v>116.16213276006665</v>
      </c>
      <c r="N20" s="182">
        <f>SUM(MF:GŘC!N20)</f>
        <v>1185641</v>
      </c>
      <c r="O20" s="66">
        <f t="shared" si="0"/>
        <v>93.02634839750495</v>
      </c>
      <c r="P20" s="66">
        <f t="shared" si="1"/>
        <v>297.5761195277255</v>
      </c>
      <c r="Q20" s="66">
        <f t="shared" si="2"/>
        <v>50.170034989994505</v>
      </c>
      <c r="R20" s="66">
        <f t="shared" si="3"/>
        <v>138.27749243092197</v>
      </c>
    </row>
    <row r="21" spans="1:18" ht="12.75">
      <c r="A21" s="8" t="s">
        <v>8</v>
      </c>
      <c r="B21" s="30">
        <f>SUM(MF:GŘC!B20)</f>
        <v>431725</v>
      </c>
      <c r="C21" s="53">
        <f>SUM(MF:GŘC!C20)</f>
        <v>462409</v>
      </c>
      <c r="D21" s="18">
        <f>SUM(MF:GŘC!D20)</f>
        <v>469723</v>
      </c>
      <c r="E21" s="9">
        <f>SUM(MF:GŘC!E20)-1</f>
        <v>464895</v>
      </c>
      <c r="F21" s="9">
        <f>SUM(MF:GŘC!F20)</f>
        <v>402158</v>
      </c>
      <c r="G21" s="18">
        <f>SUM(MF:GŘC!G21)</f>
        <v>480929</v>
      </c>
      <c r="H21" s="18">
        <f>SUM(MF:GŘC!H21)</f>
        <v>447444</v>
      </c>
      <c r="I21" s="18">
        <f>SUM(MF:GŘC!I21)</f>
        <v>616260</v>
      </c>
      <c r="J21" s="18">
        <f>SUM(MF:GŘC!J21)</f>
        <v>722513</v>
      </c>
      <c r="K21" s="18">
        <f>SUM(MF:GŘC!K21)</f>
        <v>652946</v>
      </c>
      <c r="L21" s="18">
        <f>SUM(MF:GŘC!L21)</f>
        <v>417021</v>
      </c>
      <c r="M21" s="64">
        <f t="shared" si="4"/>
        <v>93.03743379999958</v>
      </c>
      <c r="N21" s="182">
        <f>SUM(MF:GŘC!N21)</f>
        <v>420150</v>
      </c>
      <c r="O21" s="66">
        <f t="shared" si="0"/>
        <v>117.24158634342648</v>
      </c>
      <c r="P21" s="66">
        <f t="shared" si="1"/>
        <v>90.37152272692671</v>
      </c>
      <c r="Q21" s="66">
        <f t="shared" si="2"/>
        <v>63.86760926630992</v>
      </c>
      <c r="R21" s="66">
        <f t="shared" si="3"/>
        <v>100.75032192623392</v>
      </c>
    </row>
    <row r="22" spans="1:18" ht="12.75">
      <c r="A22" s="12" t="s">
        <v>9</v>
      </c>
      <c r="B22" s="43">
        <f>SUM(MF:GŘC!B21)</f>
        <v>1556959</v>
      </c>
      <c r="C22" s="56">
        <f>SUM(MF:GŘC!C21)</f>
        <v>1469802</v>
      </c>
      <c r="D22" s="39">
        <f>SUM(MF:GŘC!D21)</f>
        <v>867819</v>
      </c>
      <c r="E22" s="13">
        <f>SUM(MF:GŘC!E21)</f>
        <v>930800</v>
      </c>
      <c r="F22" s="13">
        <f>SUM(MF:GŘC!F21)</f>
        <v>931003</v>
      </c>
      <c r="G22" s="39">
        <f>SUM(MF:GŘC!G22)</f>
        <v>545552</v>
      </c>
      <c r="H22" s="39">
        <f>SUM(MF:GŘC!H22)</f>
        <v>417814</v>
      </c>
      <c r="I22" s="39">
        <f>SUM(MF:GŘC!I22)</f>
        <v>353636</v>
      </c>
      <c r="J22" s="39">
        <f>SUM(MF:GŘC!J22)</f>
        <v>2455</v>
      </c>
      <c r="K22" s="39">
        <f>SUM(MF:GŘC!K22)</f>
        <v>0</v>
      </c>
      <c r="L22" s="39">
        <f>SUM(MF:GŘC!L22)</f>
        <v>775</v>
      </c>
      <c r="M22" s="39">
        <f t="shared" si="4"/>
        <v>76.58555004839135</v>
      </c>
      <c r="N22" s="183">
        <f>SUM(MF:GŘC!N22)</f>
        <v>0</v>
      </c>
      <c r="O22" s="72">
        <f t="shared" si="0"/>
        <v>0.6942166521507991</v>
      </c>
      <c r="P22" s="72">
        <f t="shared" si="1"/>
        <v>0</v>
      </c>
      <c r="Q22" s="72" t="e">
        <f t="shared" si="2"/>
        <v>#DIV/0!</v>
      </c>
      <c r="R22" s="72">
        <f t="shared" si="3"/>
        <v>0</v>
      </c>
    </row>
    <row r="23" spans="1:18" ht="0.75" customHeight="1">
      <c r="A23" s="4"/>
      <c r="B23" s="24"/>
      <c r="C23" s="25"/>
      <c r="D23" s="37"/>
      <c r="E23" s="11"/>
      <c r="F23" s="11"/>
      <c r="G23" s="37"/>
      <c r="H23" s="37"/>
      <c r="I23" s="37"/>
      <c r="J23" s="37"/>
      <c r="K23" s="37"/>
      <c r="L23" s="37"/>
      <c r="M23" s="37"/>
      <c r="N23" s="184"/>
      <c r="O23" s="70" t="e">
        <f t="shared" si="0"/>
        <v>#DIV/0!</v>
      </c>
      <c r="P23" s="70" t="e">
        <f t="shared" si="1"/>
        <v>#DIV/0!</v>
      </c>
      <c r="Q23" s="70" t="e">
        <f t="shared" si="2"/>
        <v>#DIV/0!</v>
      </c>
      <c r="R23" s="70" t="e">
        <f t="shared" si="3"/>
        <v>#DIV/0!</v>
      </c>
    </row>
    <row r="24" spans="1:18" ht="12.75">
      <c r="A24" s="6" t="s">
        <v>10</v>
      </c>
      <c r="B24" s="42">
        <f>SUM(MF:GŘC!B23)</f>
        <v>0</v>
      </c>
      <c r="C24" s="38">
        <f>SUM(MF:GŘC!C23)</f>
        <v>0</v>
      </c>
      <c r="D24" s="38">
        <f>SUM(MF:GŘC!D23)</f>
        <v>0</v>
      </c>
      <c r="E24" s="7">
        <f>SUM(MF:GŘC!E23)</f>
        <v>0</v>
      </c>
      <c r="F24" s="7">
        <f>SUM(MF:GŘC!F23)</f>
        <v>0</v>
      </c>
      <c r="G24" s="38">
        <f>SUM(MF:GŘC!G24)</f>
        <v>12812996</v>
      </c>
      <c r="H24" s="38">
        <f>SUM(MF:GŘC!H24)</f>
        <v>13122950</v>
      </c>
      <c r="I24" s="38">
        <f>SUM(MF:GŘC!I24)</f>
        <v>13781588</v>
      </c>
      <c r="J24" s="38">
        <f>SUM(MF:GŘC!J24)</f>
        <v>14203222</v>
      </c>
      <c r="K24" s="38">
        <f>SUM(MF:GŘC!K24)</f>
        <v>14590464</v>
      </c>
      <c r="L24" s="38">
        <f>SUM(MF:GŘC!L24)</f>
        <v>13810059</v>
      </c>
      <c r="M24" s="181">
        <f t="shared" si="4"/>
        <v>102.41905952362742</v>
      </c>
      <c r="N24" s="198">
        <f>SUM(MF:GŘC!N24)</f>
        <v>13355833</v>
      </c>
      <c r="O24" s="65">
        <f t="shared" si="0"/>
        <v>103.05940070186396</v>
      </c>
      <c r="P24" s="65">
        <f t="shared" si="1"/>
        <v>102.72643770547273</v>
      </c>
      <c r="Q24" s="65">
        <f t="shared" si="2"/>
        <v>94.6512667451837</v>
      </c>
      <c r="R24" s="65">
        <f t="shared" si="3"/>
        <v>96.71090471083433</v>
      </c>
    </row>
    <row r="25" spans="1:18" ht="12.75">
      <c r="A25" s="8" t="s">
        <v>6</v>
      </c>
      <c r="B25" s="30">
        <f>SUM(MF:GŘC!B24)</f>
        <v>9823725</v>
      </c>
      <c r="C25" s="53">
        <f>SUM(MF:GŘC!C24)</f>
        <v>10387643</v>
      </c>
      <c r="D25" s="18">
        <f>SUM(MF:GŘC!D24)</f>
        <v>11093852</v>
      </c>
      <c r="E25" s="9">
        <f>SUM(MF:GŘC!E24)</f>
        <v>11874432</v>
      </c>
      <c r="F25" s="9">
        <f>SUM(MF:GŘC!F24)</f>
        <v>12273755</v>
      </c>
      <c r="G25" s="18"/>
      <c r="H25" s="18"/>
      <c r="I25" s="18"/>
      <c r="J25" s="18"/>
      <c r="K25" s="18"/>
      <c r="L25" s="18"/>
      <c r="M25" s="64"/>
      <c r="N25" s="182"/>
      <c r="O25" s="66"/>
      <c r="P25" s="66"/>
      <c r="Q25" s="66"/>
      <c r="R25" s="66"/>
    </row>
    <row r="26" spans="1:18" ht="12.75">
      <c r="A26" s="14" t="s">
        <v>11</v>
      </c>
      <c r="B26" s="44">
        <f>SUM(MF:GŘC!B25)</f>
        <v>0</v>
      </c>
      <c r="C26" s="57">
        <f>SUM(MF:GŘC!C25)</f>
        <v>0</v>
      </c>
      <c r="D26" s="40">
        <f>SUM(MF:GŘC!D25)</f>
        <v>0</v>
      </c>
      <c r="E26" s="15">
        <f>SUM(MF:GŘC!E25)+1</f>
        <v>1</v>
      </c>
      <c r="F26" s="15">
        <f>SUM(MF:GŘC!F25)</f>
        <v>0</v>
      </c>
      <c r="G26" s="40">
        <f>SUM(MF:GŘC!G26)</f>
        <v>6620308</v>
      </c>
      <c r="H26" s="40">
        <f>SUM(MF:GŘC!H26)</f>
        <v>6899864</v>
      </c>
      <c r="I26" s="40">
        <f>SUM(MF:GŘC!I26)</f>
        <v>7368118</v>
      </c>
      <c r="J26" s="40">
        <f>SUM(MF:GŘC!J26)</f>
        <v>7569778</v>
      </c>
      <c r="K26" s="40">
        <f>SUM(MF:GŘC!K26)</f>
        <v>7911210</v>
      </c>
      <c r="L26" s="40">
        <f>SUM(MF:GŘC!L26)</f>
        <v>7539755</v>
      </c>
      <c r="M26" s="185">
        <f t="shared" si="4"/>
        <v>104.22270383794832</v>
      </c>
      <c r="N26" s="199">
        <f>SUM(MF:GŘC!N26)</f>
        <v>7023191</v>
      </c>
      <c r="O26" s="67">
        <f t="shared" si="0"/>
        <v>102.7369268516058</v>
      </c>
      <c r="P26" s="67">
        <f t="shared" si="1"/>
        <v>104.51046252611371</v>
      </c>
      <c r="Q26" s="67">
        <f t="shared" si="2"/>
        <v>95.30470054517576</v>
      </c>
      <c r="R26" s="67">
        <f t="shared" si="3"/>
        <v>93.14879594893999</v>
      </c>
    </row>
    <row r="27" spans="1:18" ht="12.75">
      <c r="A27" s="8" t="s">
        <v>12</v>
      </c>
      <c r="B27" s="30">
        <f>SUM(MF:GŘC!B26)</f>
        <v>4695616</v>
      </c>
      <c r="C27" s="53">
        <f>SUM(MF:GŘC!C26)</f>
        <v>5268719</v>
      </c>
      <c r="D27" s="18">
        <f>SUM(MF:GŘC!D26)</f>
        <v>5812194</v>
      </c>
      <c r="E27" s="9">
        <f>SUM(MF:GŘC!E26)+1</f>
        <v>6361187</v>
      </c>
      <c r="F27" s="9">
        <f>SUM(MF:GŘC!F26)</f>
        <v>6445025</v>
      </c>
      <c r="G27" s="18">
        <f>SUM(MF:GŘC!G27)</f>
        <v>6558759</v>
      </c>
      <c r="H27" s="18">
        <f>SUM(MF:GŘC!H27)</f>
        <v>6863888</v>
      </c>
      <c r="I27" s="18">
        <f>SUM(MF:GŘC!I27)</f>
        <v>7322873</v>
      </c>
      <c r="J27" s="18">
        <f>SUM(MF:GŘC!J27)</f>
        <v>7528481</v>
      </c>
      <c r="K27" s="18">
        <f>SUM(MF:GŘC!K27)</f>
        <v>7869694</v>
      </c>
      <c r="L27" s="18">
        <f>SUM(MF:GŘC!L27)</f>
        <v>7488972</v>
      </c>
      <c r="M27" s="64">
        <f t="shared" si="4"/>
        <v>104.65223680272442</v>
      </c>
      <c r="N27" s="182">
        <f>SUM(MF:GŘC!N27)</f>
        <v>6981290</v>
      </c>
      <c r="O27" s="66">
        <f t="shared" si="0"/>
        <v>102.80775045531993</v>
      </c>
      <c r="P27" s="66">
        <f t="shared" si="1"/>
        <v>104.53229542586347</v>
      </c>
      <c r="Q27" s="66">
        <f t="shared" si="2"/>
        <v>95.16217530186053</v>
      </c>
      <c r="R27" s="66">
        <f t="shared" si="3"/>
        <v>93.22093873498258</v>
      </c>
    </row>
    <row r="28" spans="1:18" ht="12.75">
      <c r="A28" s="23" t="s">
        <v>13</v>
      </c>
      <c r="B28" s="62">
        <f>SUM(MF:GŘC!B27)</f>
        <v>4671745</v>
      </c>
      <c r="C28" s="63">
        <f>SUM(MF:GŘC!C27)</f>
        <v>5247924</v>
      </c>
      <c r="D28" s="18">
        <f>SUM(MF:GŘC!D27)</f>
        <v>5787614</v>
      </c>
      <c r="E28" s="9">
        <f>SUM(MF:GŘC!E27)</f>
        <v>6335807</v>
      </c>
      <c r="F28" s="9">
        <f>SUM(MF:GŘC!F27)</f>
        <v>6379414</v>
      </c>
      <c r="G28" s="18">
        <f>SUM(MF:GŘC!G28)</f>
        <v>61549</v>
      </c>
      <c r="H28" s="18">
        <f>SUM(MF:GŘC!H28)</f>
        <v>35976</v>
      </c>
      <c r="I28" s="18">
        <f>SUM(MF:GŘC!I28)</f>
        <v>45245</v>
      </c>
      <c r="J28" s="18">
        <f>SUM(MF:GŘC!J28)</f>
        <v>41297</v>
      </c>
      <c r="K28" s="18">
        <f>SUM(MF:GŘC!K28)</f>
        <v>41516</v>
      </c>
      <c r="L28" s="18">
        <f>SUM(MF:GŘC!L28)</f>
        <v>50783</v>
      </c>
      <c r="M28" s="64">
        <f t="shared" si="4"/>
        <v>58.450990267916616</v>
      </c>
      <c r="N28" s="182">
        <f>SUM(MF:GŘC!N28)</f>
        <v>41901</v>
      </c>
      <c r="O28" s="66">
        <f t="shared" si="0"/>
        <v>91.27417394187202</v>
      </c>
      <c r="P28" s="66">
        <f t="shared" si="1"/>
        <v>100.53030486476015</v>
      </c>
      <c r="Q28" s="66">
        <f t="shared" si="2"/>
        <v>122.32151459678195</v>
      </c>
      <c r="R28" s="66">
        <f t="shared" si="3"/>
        <v>82.50989504361695</v>
      </c>
    </row>
    <row r="29" spans="1:18" ht="12.75">
      <c r="A29" s="16" t="s">
        <v>14</v>
      </c>
      <c r="B29" s="45">
        <f>SUM(MF:GŘC!B28)</f>
        <v>23871</v>
      </c>
      <c r="C29" s="58">
        <f>SUM(MF:GŘC!C28)</f>
        <v>20795</v>
      </c>
      <c r="D29" s="41">
        <f>SUM(MF:GŘC!D28)</f>
        <v>24580</v>
      </c>
      <c r="E29" s="17">
        <f>SUM(MF:GŘC!E28)</f>
        <v>25379</v>
      </c>
      <c r="F29" s="17">
        <f>SUM(MF:GŘC!F28)</f>
        <v>65611</v>
      </c>
      <c r="G29" s="41">
        <f>SUM(MF:GŘC!G29)</f>
        <v>2303029</v>
      </c>
      <c r="H29" s="41">
        <f>SUM(MF:GŘC!H29)</f>
        <v>2411147</v>
      </c>
      <c r="I29" s="41">
        <f>SUM(MF:GŘC!I29)</f>
        <v>2574499</v>
      </c>
      <c r="J29" s="41">
        <f>SUM(MF:GŘC!J29)</f>
        <v>2646628</v>
      </c>
      <c r="K29" s="41">
        <f>SUM(MF:GŘC!K29)</f>
        <v>2677112</v>
      </c>
      <c r="L29" s="41">
        <f>SUM(MF:GŘC!L29)</f>
        <v>2550094</v>
      </c>
      <c r="M29" s="186">
        <f t="shared" si="4"/>
        <v>104.69460002457633</v>
      </c>
      <c r="N29" s="200">
        <f>SUM(MF:GŘC!N29)</f>
        <v>2380743</v>
      </c>
      <c r="O29" s="68">
        <f t="shared" si="0"/>
        <v>102.8016713154676</v>
      </c>
      <c r="P29" s="68">
        <f t="shared" si="1"/>
        <v>101.15180524047958</v>
      </c>
      <c r="Q29" s="68">
        <f t="shared" si="2"/>
        <v>95.25540956075054</v>
      </c>
      <c r="R29" s="68">
        <f t="shared" si="3"/>
        <v>93.35902911814232</v>
      </c>
    </row>
    <row r="30" spans="1:18" ht="12.75">
      <c r="A30" s="16" t="s">
        <v>15</v>
      </c>
      <c r="B30" s="45">
        <f>SUM(MF:GŘC!B29)</f>
        <v>1639257</v>
      </c>
      <c r="C30" s="58">
        <f>SUM(MF:GŘC!C29)</f>
        <v>1840871</v>
      </c>
      <c r="D30" s="41">
        <f>SUM(MF:GŘC!D29)</f>
        <v>2031059</v>
      </c>
      <c r="E30" s="17">
        <f>SUM(MF:GŘC!E29)+1</f>
        <v>2223912</v>
      </c>
      <c r="F30" s="17">
        <f>SUM(MF:GŘC!F29)</f>
        <v>2237740</v>
      </c>
      <c r="G30" s="41">
        <f>SUM(MF:GŘC!G30)</f>
        <v>131177</v>
      </c>
      <c r="H30" s="41">
        <f>SUM(MF:GŘC!H30)</f>
        <v>137288</v>
      </c>
      <c r="I30" s="41">
        <f>SUM(MF:GŘC!I30)</f>
        <v>146490</v>
      </c>
      <c r="J30" s="41">
        <f>SUM(MF:GŘC!J30)</f>
        <v>150605</v>
      </c>
      <c r="K30" s="41">
        <f>SUM(MF:GŘC!K30)</f>
        <v>157434</v>
      </c>
      <c r="L30" s="41">
        <f>SUM(MF:GŘC!L30)</f>
        <v>149848</v>
      </c>
      <c r="M30" s="186">
        <f t="shared" si="4"/>
        <v>104.65859106398226</v>
      </c>
      <c r="N30" s="200">
        <f>SUM(MF:GŘC!N30)</f>
        <v>69814</v>
      </c>
      <c r="O30" s="68">
        <f t="shared" si="0"/>
        <v>102.80906546521946</v>
      </c>
      <c r="P30" s="68">
        <f t="shared" si="1"/>
        <v>104.53437800869824</v>
      </c>
      <c r="Q30" s="68">
        <f t="shared" si="2"/>
        <v>95.18147287117141</v>
      </c>
      <c r="R30" s="68">
        <f t="shared" si="3"/>
        <v>46.58987774277935</v>
      </c>
    </row>
    <row r="31" spans="1:18" ht="12.75">
      <c r="A31" s="14" t="s">
        <v>16</v>
      </c>
      <c r="B31" s="44">
        <f>SUM(MF:GŘC!B30)</f>
        <v>93430</v>
      </c>
      <c r="C31" s="57">
        <f>SUM(MF:GŘC!C30)</f>
        <v>105064</v>
      </c>
      <c r="D31" s="41">
        <f>SUM(MF:GŘC!D30)</f>
        <v>115686</v>
      </c>
      <c r="E31" s="17">
        <f>SUM(MF:GŘC!E30)</f>
        <v>126731</v>
      </c>
      <c r="F31" s="17">
        <f>SUM(MF:GŘC!F30)</f>
        <v>127595</v>
      </c>
      <c r="G31" s="41">
        <f>SUM(MF:GŘC!G31)</f>
        <v>204235</v>
      </c>
      <c r="H31" s="41">
        <f>SUM(MF:GŘC!H31)</f>
        <v>250995</v>
      </c>
      <c r="I31" s="41">
        <f>SUM(MF:GŘC!I31)</f>
        <v>310574</v>
      </c>
      <c r="J31" s="41">
        <f>SUM(MF:GŘC!J31)</f>
        <v>343323</v>
      </c>
      <c r="K31" s="41">
        <f>SUM(MF:GŘC!K31)</f>
        <v>362286</v>
      </c>
      <c r="L31" s="41">
        <f>SUM(MF:GŘC!L31)</f>
        <v>421599</v>
      </c>
      <c r="M31" s="185">
        <f t="shared" si="4"/>
        <v>122.89519426151247</v>
      </c>
      <c r="N31" s="199">
        <f>SUM(MF:GŘC!N31)</f>
        <v>414270</v>
      </c>
      <c r="O31" s="68">
        <f t="shared" si="0"/>
        <v>110.54466890338534</v>
      </c>
      <c r="P31" s="68">
        <f t="shared" si="1"/>
        <v>105.5233701208483</v>
      </c>
      <c r="Q31" s="68">
        <f t="shared" si="2"/>
        <v>116.37187194647322</v>
      </c>
      <c r="R31" s="68">
        <f t="shared" si="3"/>
        <v>98.26161826759551</v>
      </c>
    </row>
    <row r="32" spans="1:18" ht="12.75">
      <c r="A32" s="14" t="s">
        <v>17</v>
      </c>
      <c r="B32" s="44">
        <f>SUM(MF:GŘC!B31)</f>
        <v>16051</v>
      </c>
      <c r="C32" s="57">
        <f>SUM(MF:GŘC!C31)</f>
        <v>19856</v>
      </c>
      <c r="D32" s="40">
        <f>SUM(MF:GŘC!D31)</f>
        <v>36984</v>
      </c>
      <c r="E32" s="15">
        <f>SUM(MF:GŘC!E31)-2</f>
        <v>68891</v>
      </c>
      <c r="F32" s="15">
        <f>SUM(MF:GŘC!F31)</f>
        <v>164927</v>
      </c>
      <c r="G32" s="40">
        <f>SUM(MF:GŘC!G32)</f>
        <v>3554247</v>
      </c>
      <c r="H32" s="40">
        <f>SUM(MF:GŘC!H32)</f>
        <v>3423656</v>
      </c>
      <c r="I32" s="40">
        <f>SUM(MF:GŘC!I32)</f>
        <v>3381907</v>
      </c>
      <c r="J32" s="40">
        <f>SUM(MF:GŘC!J32)</f>
        <v>3492888</v>
      </c>
      <c r="K32" s="40">
        <f>SUM(MF:GŘC!K32)</f>
        <v>3482422</v>
      </c>
      <c r="L32" s="40">
        <f>SUM(MF:GŘC!L32)</f>
        <v>3148763</v>
      </c>
      <c r="M32" s="185">
        <f t="shared" si="4"/>
        <v>96.32577589571012</v>
      </c>
      <c r="N32" s="199">
        <f>SUM(MF:GŘC!N32)</f>
        <v>3467815</v>
      </c>
      <c r="O32" s="67">
        <f t="shared" si="0"/>
        <v>103.28161005018765</v>
      </c>
      <c r="P32" s="67">
        <f t="shared" si="1"/>
        <v>99.70036256530412</v>
      </c>
      <c r="Q32" s="67">
        <f t="shared" si="2"/>
        <v>90.41876601974144</v>
      </c>
      <c r="R32" s="67">
        <f t="shared" si="3"/>
        <v>110.13261398206215</v>
      </c>
    </row>
    <row r="33" spans="1:18" ht="12.75">
      <c r="A33" s="8" t="s">
        <v>18</v>
      </c>
      <c r="B33" s="30"/>
      <c r="C33" s="53"/>
      <c r="D33" s="18"/>
      <c r="E33" s="9"/>
      <c r="F33" s="9"/>
      <c r="G33" s="18"/>
      <c r="H33" s="18">
        <f>SUM(MF:GŘC!H33)</f>
        <v>0</v>
      </c>
      <c r="I33" s="18">
        <f>SUM(MF:GŘC!I33)</f>
        <v>0</v>
      </c>
      <c r="J33" s="18"/>
      <c r="K33" s="18"/>
      <c r="L33" s="18"/>
      <c r="M33" s="64"/>
      <c r="N33" s="182"/>
      <c r="O33" s="66"/>
      <c r="P33" s="66"/>
      <c r="Q33" s="66"/>
      <c r="R33" s="66"/>
    </row>
    <row r="34" spans="1:18" ht="12.75">
      <c r="A34" s="8" t="s">
        <v>19</v>
      </c>
      <c r="B34" s="30">
        <f>SUM(MF:GŘC!B33)</f>
        <v>0</v>
      </c>
      <c r="C34" s="27">
        <f>SUM(MF:GŘC!C33)</f>
        <v>0</v>
      </c>
      <c r="D34" s="9">
        <f>SUM(MF:GŘC!D33)</f>
        <v>0</v>
      </c>
      <c r="E34" s="9">
        <f>SUM(MF:GŘC!E33)</f>
        <v>0</v>
      </c>
      <c r="F34" s="9">
        <f>SUM(MF:GŘC!F33)</f>
        <v>0</v>
      </c>
      <c r="G34" s="18">
        <f>SUM(MF:GŘC!G34)</f>
        <v>441625</v>
      </c>
      <c r="H34" s="18">
        <f>SUM(MF:GŘC!H34)</f>
        <v>405492</v>
      </c>
      <c r="I34" s="18">
        <f>SUM(MF:GŘC!I34)</f>
        <v>374476</v>
      </c>
      <c r="J34" s="18">
        <f>SUM(MF:GŘC!J34)</f>
        <v>362452</v>
      </c>
      <c r="K34" s="18">
        <f>SUM(MF:GŘC!K34)</f>
        <v>373752</v>
      </c>
      <c r="L34" s="18">
        <f>SUM(MF:GŘC!L34)</f>
        <v>250897</v>
      </c>
      <c r="M34" s="64">
        <f t="shared" si="4"/>
        <v>91.81817152561563</v>
      </c>
      <c r="N34" s="182">
        <f>SUM(MF:GŘC!N34)</f>
        <v>223616</v>
      </c>
      <c r="O34" s="66">
        <f t="shared" si="0"/>
        <v>96.7891133210139</v>
      </c>
      <c r="P34" s="66">
        <f t="shared" si="1"/>
        <v>103.11765419972852</v>
      </c>
      <c r="Q34" s="66">
        <f t="shared" si="2"/>
        <v>67.12927288683404</v>
      </c>
      <c r="R34" s="66">
        <f t="shared" si="3"/>
        <v>89.12661371000848</v>
      </c>
    </row>
    <row r="35" spans="1:18" ht="12.75">
      <c r="A35" s="8" t="s">
        <v>20</v>
      </c>
      <c r="B35" s="30">
        <f>SUM(MF:GŘC!B34)</f>
        <v>484971</v>
      </c>
      <c r="C35" s="27">
        <f>SUM(MF:GŘC!C34)</f>
        <v>631554</v>
      </c>
      <c r="D35" s="9">
        <f>SUM(MF:GŘC!D34)</f>
        <v>403997</v>
      </c>
      <c r="E35" s="9">
        <f>SUM(MF:GŘC!E34)-1</f>
        <v>483532</v>
      </c>
      <c r="F35" s="9">
        <f>SUM(MF:GŘC!F34)</f>
        <v>362759</v>
      </c>
      <c r="G35" s="18">
        <f>SUM(MF:GŘC!G35)</f>
        <v>272034</v>
      </c>
      <c r="H35" s="18">
        <f>SUM(MF:GŘC!H35)</f>
        <v>299278</v>
      </c>
      <c r="I35" s="18">
        <f>SUM(MF:GŘC!I35)</f>
        <v>295362</v>
      </c>
      <c r="J35" s="18">
        <f>SUM(MF:GŘC!J35)</f>
        <v>351777</v>
      </c>
      <c r="K35" s="18">
        <f>SUM(MF:GŘC!K35)</f>
        <v>369950</v>
      </c>
      <c r="L35" s="18">
        <f>SUM(MF:GŘC!L35)</f>
        <v>354932</v>
      </c>
      <c r="M35" s="64">
        <f t="shared" si="4"/>
        <v>110.01492460501261</v>
      </c>
      <c r="N35" s="182">
        <f>SUM(MF:GŘC!N35)</f>
        <v>348255</v>
      </c>
      <c r="O35" s="66">
        <f t="shared" si="0"/>
        <v>119.10029049099072</v>
      </c>
      <c r="P35" s="66">
        <f t="shared" si="1"/>
        <v>105.16605690536902</v>
      </c>
      <c r="Q35" s="66">
        <f t="shared" si="2"/>
        <v>95.94053250439248</v>
      </c>
      <c r="R35" s="66">
        <f t="shared" si="3"/>
        <v>98.11879458600521</v>
      </c>
    </row>
    <row r="36" spans="1:18" ht="12.75">
      <c r="A36" s="8" t="s">
        <v>21</v>
      </c>
      <c r="B36" s="30">
        <f>SUM(MF:GŘC!B35)</f>
        <v>253512</v>
      </c>
      <c r="C36" s="27">
        <f>SUM(MF:GŘC!C35)</f>
        <v>252210</v>
      </c>
      <c r="D36" s="9">
        <f>SUM(MF:GŘC!D35)</f>
        <v>264050</v>
      </c>
      <c r="E36" s="9">
        <f>SUM(MF:GŘC!E35)-1</f>
        <v>271112</v>
      </c>
      <c r="F36" s="9">
        <f>SUM(MF:GŘC!F35)</f>
        <v>268915</v>
      </c>
      <c r="G36" s="18">
        <f>SUM(MF:GŘC!G36)</f>
        <v>1599564</v>
      </c>
      <c r="H36" s="18">
        <f>SUM(MF:GŘC!H36)</f>
        <v>1682110</v>
      </c>
      <c r="I36" s="18">
        <f>SUM(MF:GŘC!I36)</f>
        <v>1661698</v>
      </c>
      <c r="J36" s="18">
        <f>SUM(MF:GŘC!J36)</f>
        <v>2066517</v>
      </c>
      <c r="K36" s="18">
        <f>SUM(MF:GŘC!K36)</f>
        <v>2039661</v>
      </c>
      <c r="L36" s="18">
        <f>SUM(MF:GŘC!L36)</f>
        <v>2030022</v>
      </c>
      <c r="M36" s="64">
        <f t="shared" si="4"/>
        <v>105.16053124476419</v>
      </c>
      <c r="N36" s="182">
        <f>SUM(MF:GŘC!N36)</f>
        <v>2275450</v>
      </c>
      <c r="O36" s="66">
        <f t="shared" si="0"/>
        <v>124.36176730067679</v>
      </c>
      <c r="P36" s="66">
        <f t="shared" si="1"/>
        <v>98.70042201443297</v>
      </c>
      <c r="Q36" s="66">
        <f t="shared" si="2"/>
        <v>99.52742146856757</v>
      </c>
      <c r="R36" s="66">
        <f t="shared" si="3"/>
        <v>112.08991823733929</v>
      </c>
    </row>
    <row r="37" spans="1:18" ht="12.75" hidden="1">
      <c r="A37" s="8" t="s">
        <v>22</v>
      </c>
      <c r="B37" s="30">
        <f>SUM(MF:GŘC!B36)</f>
        <v>2175869</v>
      </c>
      <c r="C37" s="27">
        <f>SUM(MF:GŘC!C36)</f>
        <v>1538970</v>
      </c>
      <c r="D37" s="9">
        <f>SUM(MF:GŘC!D36)</f>
        <v>1705587</v>
      </c>
      <c r="E37" s="9">
        <f>SUM(MF:GŘC!E36)-1</f>
        <v>1583957</v>
      </c>
      <c r="F37" s="9">
        <f>SUM(MF:GŘC!F36)</f>
        <v>1554286</v>
      </c>
      <c r="G37" s="18">
        <f>SUM(MF:GŘC!G37)</f>
        <v>0</v>
      </c>
      <c r="H37" s="18">
        <f>SUM(MF:GŘC!H37)</f>
        <v>0</v>
      </c>
      <c r="I37" s="18">
        <f>SUM(MF:GŘC!I37)</f>
        <v>0</v>
      </c>
      <c r="J37" s="18">
        <f>SUM(MF:GŘC!J37)</f>
        <v>0</v>
      </c>
      <c r="K37" s="18">
        <f>SUM(MF:GŘC!K37)</f>
        <v>0</v>
      </c>
      <c r="L37" s="18">
        <f>SUM(MF:GŘC!L37)</f>
        <v>0</v>
      </c>
      <c r="M37" s="64" t="e">
        <f t="shared" si="4"/>
        <v>#DIV/0!</v>
      </c>
      <c r="N37" s="182">
        <f>SUM(MF:GŘC!N37)</f>
        <v>0</v>
      </c>
      <c r="O37" s="66" t="e">
        <f t="shared" si="0"/>
        <v>#DIV/0!</v>
      </c>
      <c r="P37" s="66" t="e">
        <f t="shared" si="1"/>
        <v>#DIV/0!</v>
      </c>
      <c r="Q37" s="66" t="e">
        <f t="shared" si="2"/>
        <v>#DIV/0!</v>
      </c>
      <c r="R37" s="66" t="e">
        <f t="shared" si="3"/>
        <v>#DIV/0!</v>
      </c>
    </row>
    <row r="38" spans="1:18" ht="12.75">
      <c r="A38" s="8" t="s">
        <v>23</v>
      </c>
      <c r="B38" s="30">
        <f>SUM(MF:GŘC!B37)</f>
        <v>359422</v>
      </c>
      <c r="C38" s="27">
        <f>SUM(MF:GŘC!C37)</f>
        <v>231326</v>
      </c>
      <c r="D38" s="9">
        <f>SUM(MF:GŘC!D37)</f>
        <v>223714</v>
      </c>
      <c r="E38" s="9">
        <f>SUM(MF:GŘC!E37)</f>
        <v>209678</v>
      </c>
      <c r="F38" s="9">
        <f>SUM(MF:GŘC!F37)</f>
        <v>202008</v>
      </c>
      <c r="G38" s="18">
        <f>SUM(MF:GŘC!G38)</f>
        <v>683734</v>
      </c>
      <c r="H38" s="18">
        <f>SUM(MF:GŘC!H38)</f>
        <v>682808</v>
      </c>
      <c r="I38" s="18">
        <f>SUM(MF:GŘC!I38)</f>
        <v>607262</v>
      </c>
      <c r="J38" s="18">
        <f>SUM(MF:GŘC!J38)</f>
        <v>475050</v>
      </c>
      <c r="K38" s="18">
        <f>SUM(MF:GŘC!K38)</f>
        <v>444228</v>
      </c>
      <c r="L38" s="18">
        <f>SUM(MF:GŘC!L38)</f>
        <v>365171</v>
      </c>
      <c r="M38" s="64">
        <f t="shared" si="4"/>
        <v>99.86456721473556</v>
      </c>
      <c r="N38" s="182">
        <f>SUM(MF:GŘC!N38)</f>
        <v>367988</v>
      </c>
      <c r="O38" s="66">
        <f t="shared" si="0"/>
        <v>78.22817828219121</v>
      </c>
      <c r="P38" s="66">
        <f t="shared" si="1"/>
        <v>93.51184085885697</v>
      </c>
      <c r="Q38" s="66">
        <f t="shared" si="2"/>
        <v>82.20350810844882</v>
      </c>
      <c r="R38" s="66">
        <f t="shared" si="3"/>
        <v>100.77141941720453</v>
      </c>
    </row>
    <row r="39" spans="1:18" ht="12.75" hidden="1">
      <c r="A39" s="8" t="s">
        <v>24</v>
      </c>
      <c r="B39" s="30">
        <f>SUM(MF:GŘC!B38)</f>
        <v>419919</v>
      </c>
      <c r="C39" s="27">
        <f>SUM(MF:GŘC!C38)</f>
        <v>537322</v>
      </c>
      <c r="D39" s="9">
        <f>SUM(MF:GŘC!D38)</f>
        <v>544708</v>
      </c>
      <c r="E39" s="9">
        <f>SUM(MF:GŘC!E38)+1</f>
        <v>632843</v>
      </c>
      <c r="F39" s="9">
        <f>SUM(MF:GŘC!F38)</f>
        <v>655465</v>
      </c>
      <c r="G39" s="18">
        <f>SUM(MF:GŘC!G39)</f>
        <v>0</v>
      </c>
      <c r="H39" s="18">
        <f>SUM(MF:GŘC!H39)</f>
        <v>0</v>
      </c>
      <c r="I39" s="18">
        <f>SUM(MF:GŘC!I39)</f>
        <v>0</v>
      </c>
      <c r="J39" s="18">
        <f>SUM(MF:GŘC!J39)</f>
        <v>0</v>
      </c>
      <c r="K39" s="18">
        <f>SUM(MF:GŘC!K39)</f>
        <v>0</v>
      </c>
      <c r="L39" s="18">
        <f>SUM(MF:GŘC!L39)</f>
        <v>0</v>
      </c>
      <c r="M39" s="64" t="e">
        <f t="shared" si="4"/>
        <v>#DIV/0!</v>
      </c>
      <c r="N39" s="182">
        <f>SUM(MF:GŘC!N39)</f>
        <v>0</v>
      </c>
      <c r="O39" s="66" t="e">
        <f t="shared" si="0"/>
        <v>#DIV/0!</v>
      </c>
      <c r="P39" s="66" t="e">
        <f t="shared" si="1"/>
        <v>#DIV/0!</v>
      </c>
      <c r="Q39" s="66" t="e">
        <f t="shared" si="2"/>
        <v>#DIV/0!</v>
      </c>
      <c r="R39" s="66" t="e">
        <f t="shared" si="3"/>
        <v>#DIV/0!</v>
      </c>
    </row>
    <row r="40" spans="1:18" ht="12.75" hidden="1">
      <c r="A40" s="8" t="s">
        <v>25</v>
      </c>
      <c r="B40" s="30">
        <f>SUM(MF:GŘC!B39)</f>
        <v>284299</v>
      </c>
      <c r="C40" s="27">
        <f>SUM(MF:GŘC!C39)</f>
        <v>371665</v>
      </c>
      <c r="D40" s="9">
        <f>SUM(MF:GŘC!D39)</f>
        <v>391807</v>
      </c>
      <c r="E40" s="9">
        <f>SUM(MF:GŘC!E39)-1</f>
        <v>495797</v>
      </c>
      <c r="F40" s="9">
        <f>SUM(MF:GŘC!F39)</f>
        <v>487754</v>
      </c>
      <c r="G40" s="18">
        <f>SUM(MF:GŘC!G40)</f>
        <v>0</v>
      </c>
      <c r="H40" s="18">
        <f>SUM(MF:GŘC!H40)</f>
        <v>0</v>
      </c>
      <c r="I40" s="18">
        <f>SUM(MF:GŘC!I40)</f>
        <v>0</v>
      </c>
      <c r="J40" s="18">
        <f>SUM(MF:GŘC!J40)</f>
        <v>0</v>
      </c>
      <c r="K40" s="18">
        <f>SUM(MF:GŘC!K40)</f>
        <v>0</v>
      </c>
      <c r="L40" s="18">
        <f>SUM(MF:GŘC!L40)</f>
        <v>0</v>
      </c>
      <c r="M40" s="64" t="e">
        <f t="shared" si="4"/>
        <v>#DIV/0!</v>
      </c>
      <c r="N40" s="182">
        <f>SUM(MF:GŘC!N40)</f>
        <v>0</v>
      </c>
      <c r="O40" s="66" t="e">
        <f t="shared" si="0"/>
        <v>#DIV/0!</v>
      </c>
      <c r="P40" s="66" t="e">
        <f t="shared" si="1"/>
        <v>#DIV/0!</v>
      </c>
      <c r="Q40" s="66" t="e">
        <f t="shared" si="2"/>
        <v>#DIV/0!</v>
      </c>
      <c r="R40" s="66" t="e">
        <f t="shared" si="3"/>
        <v>#DIV/0!</v>
      </c>
    </row>
    <row r="41" spans="1:18" ht="12.75" hidden="1">
      <c r="A41" s="8" t="s">
        <v>26</v>
      </c>
      <c r="B41" s="30">
        <f>SUM(MF:GŘC!B40)</f>
        <v>37947</v>
      </c>
      <c r="C41" s="27">
        <f>SUM(MF:GŘC!C40)</f>
        <v>67908</v>
      </c>
      <c r="D41" s="9">
        <f>SUM(MF:GŘC!D40)</f>
        <v>48434</v>
      </c>
      <c r="E41" s="9">
        <f>SUM(MF:GŘC!E40)+1</f>
        <v>36779</v>
      </c>
      <c r="F41" s="9">
        <f>SUM(MF:GŘC!F40)</f>
        <v>41383</v>
      </c>
      <c r="G41" s="18">
        <f>SUM(MF:GŘC!G41)</f>
        <v>0</v>
      </c>
      <c r="H41" s="18">
        <f>SUM(MF:GŘC!H41)</f>
        <v>0</v>
      </c>
      <c r="I41" s="18">
        <f>SUM(MF:GŘC!I41)</f>
        <v>0</v>
      </c>
      <c r="J41" s="18">
        <f>SUM(MF:GŘC!J41)</f>
        <v>0</v>
      </c>
      <c r="K41" s="18">
        <f>SUM(MF:GŘC!K41)</f>
        <v>0</v>
      </c>
      <c r="L41" s="18">
        <f>SUM(MF:GŘC!L41)</f>
        <v>0</v>
      </c>
      <c r="M41" s="64" t="e">
        <f t="shared" si="4"/>
        <v>#DIV/0!</v>
      </c>
      <c r="N41" s="182">
        <f>SUM(MF:GŘC!N41)</f>
        <v>0</v>
      </c>
      <c r="O41" s="66" t="e">
        <f t="shared" si="0"/>
        <v>#DIV/0!</v>
      </c>
      <c r="P41" s="66" t="e">
        <f t="shared" si="1"/>
        <v>#DIV/0!</v>
      </c>
      <c r="Q41" s="66" t="e">
        <f t="shared" si="2"/>
        <v>#DIV/0!</v>
      </c>
      <c r="R41" s="66" t="e">
        <f t="shared" si="3"/>
        <v>#DIV/0!</v>
      </c>
    </row>
    <row r="42" spans="1:18" ht="13.5" thickBot="1">
      <c r="A42" s="21" t="s">
        <v>27</v>
      </c>
      <c r="B42" s="46">
        <f>SUM(MF:GŘC!B41)</f>
        <v>64751</v>
      </c>
      <c r="C42" s="59">
        <f>SUM(MF:GŘC!C41)</f>
        <v>68184</v>
      </c>
      <c r="D42" s="22">
        <f>SUM(MF:GŘC!D41)</f>
        <v>76122</v>
      </c>
      <c r="E42" s="22">
        <f>SUM(MF:GŘC!E41)</f>
        <v>78925</v>
      </c>
      <c r="F42" s="22">
        <f>SUM(MF:GŘC!F41)</f>
        <v>85678</v>
      </c>
      <c r="G42" s="26">
        <f>SUM(MF:GŘC!G42)</f>
        <v>557290</v>
      </c>
      <c r="H42" s="26">
        <f>SUM(MF:GŘC!H42)</f>
        <v>353968</v>
      </c>
      <c r="I42" s="26">
        <f>SUM(MF:GŘC!I42)</f>
        <v>443109</v>
      </c>
      <c r="J42" s="26">
        <f>SUM(MF:GŘC!J42)</f>
        <v>237092</v>
      </c>
      <c r="K42" s="26">
        <f>SUM(MF:GŘC!K42)</f>
        <v>254831</v>
      </c>
      <c r="L42" s="26">
        <f>SUM(MF:GŘC!L42)</f>
        <v>147741</v>
      </c>
      <c r="M42" s="188">
        <f t="shared" si="4"/>
        <v>63.51594322525077</v>
      </c>
      <c r="N42" s="196">
        <f>SUM(MF:GŘC!N42)</f>
        <v>252506</v>
      </c>
      <c r="O42" s="69">
        <f t="shared" si="0"/>
        <v>53.50647357647893</v>
      </c>
      <c r="P42" s="69">
        <f t="shared" si="1"/>
        <v>107.48190575810234</v>
      </c>
      <c r="Q42" s="69">
        <f t="shared" si="2"/>
        <v>57.97607041529484</v>
      </c>
      <c r="R42" s="69">
        <f t="shared" si="3"/>
        <v>170.91125686167007</v>
      </c>
    </row>
    <row r="43" spans="1:18" ht="12.75">
      <c r="A43" s="8" t="s">
        <v>28</v>
      </c>
      <c r="B43" s="30">
        <f>SUM(MF:GŘC!B42)</f>
        <v>45100</v>
      </c>
      <c r="C43" s="60">
        <f>SUM(MF:GŘC!C42)</f>
        <v>193077</v>
      </c>
      <c r="D43" s="9">
        <f>SUM(MF:GŘC!D42)</f>
        <v>179587</v>
      </c>
      <c r="E43" s="9">
        <f>SUM(MF:GŘC!E42)</f>
        <v>122265</v>
      </c>
      <c r="F43" s="9">
        <f>SUM(MF:GŘC!F42)</f>
        <v>457043</v>
      </c>
      <c r="G43" s="18">
        <f>SUM(MF:GŘC!G43)</f>
        <v>23914</v>
      </c>
      <c r="H43" s="18">
        <f>SUM(MF:GŘC!H43)</f>
        <v>23667</v>
      </c>
      <c r="I43" s="18">
        <f>SUM(MF:GŘC!I43)</f>
        <v>23486</v>
      </c>
      <c r="J43" s="18">
        <f>SUM(MF:GŘC!J43)</f>
        <v>22955</v>
      </c>
      <c r="K43" s="18">
        <f>SUM(MF:GŘC!K43)</f>
        <v>22910</v>
      </c>
      <c r="L43" s="18">
        <f>SUM(MF:GŘC!L43)</f>
        <v>22303</v>
      </c>
      <c r="M43" s="64">
        <f t="shared" si="4"/>
        <v>98.96713222380195</v>
      </c>
      <c r="N43" s="182">
        <f>SUM(MF:GŘC!N43)</f>
        <v>21395</v>
      </c>
      <c r="O43" s="66">
        <f t="shared" si="0"/>
        <v>97.73907860001702</v>
      </c>
      <c r="P43" s="66">
        <f t="shared" si="1"/>
        <v>99.80396427793508</v>
      </c>
      <c r="Q43" s="66">
        <f t="shared" si="2"/>
        <v>97.35050196420777</v>
      </c>
      <c r="R43" s="66">
        <f t="shared" si="3"/>
        <v>95.92879881630274</v>
      </c>
    </row>
    <row r="44" spans="1:18" ht="12.75">
      <c r="A44" s="4" t="s">
        <v>30</v>
      </c>
      <c r="B44" s="28">
        <f aca="true" t="shared" si="5" ref="B44:J44">ROUND(B27/B43/12*1000,0)</f>
        <v>8676</v>
      </c>
      <c r="C44" s="27">
        <f t="shared" si="5"/>
        <v>2274</v>
      </c>
      <c r="D44" s="9">
        <f t="shared" si="5"/>
        <v>2697</v>
      </c>
      <c r="E44" s="9">
        <f t="shared" si="5"/>
        <v>4336</v>
      </c>
      <c r="F44" s="9">
        <f t="shared" si="5"/>
        <v>1175</v>
      </c>
      <c r="G44" s="18">
        <f t="shared" si="5"/>
        <v>22855</v>
      </c>
      <c r="H44" s="18">
        <f t="shared" si="5"/>
        <v>24168</v>
      </c>
      <c r="I44" s="18">
        <f t="shared" si="5"/>
        <v>25983</v>
      </c>
      <c r="J44" s="18">
        <f t="shared" si="5"/>
        <v>27331</v>
      </c>
      <c r="K44" s="18">
        <f>SUM(MF:GŘC!K43)</f>
        <v>22910</v>
      </c>
      <c r="L44" s="18">
        <f>SUM(MF:GŘC!L43)</f>
        <v>22303</v>
      </c>
      <c r="M44" s="64">
        <f t="shared" si="4"/>
        <v>105.74491358564866</v>
      </c>
      <c r="N44" s="182">
        <f>SUM(MF:GŘC!N43)</f>
        <v>21395</v>
      </c>
      <c r="O44" s="66">
        <f t="shared" si="0"/>
        <v>105.18800754339375</v>
      </c>
      <c r="P44" s="66">
        <f t="shared" si="1"/>
        <v>83.82422889758881</v>
      </c>
      <c r="Q44" s="66">
        <f t="shared" si="2"/>
        <v>97.35050196420777</v>
      </c>
      <c r="R44" s="66">
        <f t="shared" si="3"/>
        <v>95.92879881630274</v>
      </c>
    </row>
    <row r="45" spans="1:18" ht="12.75" hidden="1">
      <c r="A45" s="106" t="s">
        <v>31</v>
      </c>
      <c r="B45" s="24" t="e">
        <f>SUM(MF:ÚZSVM!B44)</f>
        <v>#DIV/0!</v>
      </c>
      <c r="C45" s="59" t="e">
        <f>SUM(MF:ÚZSVM!C44)</f>
        <v>#DIV/0!</v>
      </c>
      <c r="D45" s="11">
        <f>SUM(MF:ÚZSVM!D44)</f>
        <v>86374</v>
      </c>
      <c r="E45" s="11">
        <f>SUM(MF:ÚZSVM!E44)</f>
        <v>89875</v>
      </c>
      <c r="F45" s="11">
        <f>SUM(MF:ÚZSVM!F44)</f>
        <v>93859</v>
      </c>
      <c r="G45" s="37">
        <f>SUM(MF:ÚZSVM!G44)</f>
        <v>99477</v>
      </c>
      <c r="H45" s="37"/>
      <c r="I45" s="37"/>
      <c r="J45" s="37"/>
      <c r="K45" s="37">
        <f>SUM(MF:GŘC!K44)</f>
        <v>99209</v>
      </c>
      <c r="L45" s="37">
        <f>SUM(MF:GŘC!L44)</f>
        <v>96804</v>
      </c>
      <c r="M45" s="189">
        <f t="shared" si="4"/>
        <v>0</v>
      </c>
      <c r="N45" s="184"/>
      <c r="O45" s="70" t="e">
        <f t="shared" si="0"/>
        <v>#DIV/0!</v>
      </c>
      <c r="P45" s="70" t="e">
        <f t="shared" si="1"/>
        <v>#DIV/0!</v>
      </c>
      <c r="Q45" s="70">
        <f t="shared" si="2"/>
        <v>97.57582477396204</v>
      </c>
      <c r="R45" s="70">
        <f t="shared" si="3"/>
        <v>0</v>
      </c>
    </row>
    <row r="46" spans="1:18" ht="13.5" thickBot="1">
      <c r="A46" s="21" t="s">
        <v>29</v>
      </c>
      <c r="B46" s="46">
        <f aca="true" t="shared" si="6" ref="B46:J46">ROUND(B32/B43*1000,0)</f>
        <v>356</v>
      </c>
      <c r="C46" s="26">
        <f t="shared" si="6"/>
        <v>103</v>
      </c>
      <c r="D46" s="22">
        <f t="shared" si="6"/>
        <v>206</v>
      </c>
      <c r="E46" s="22">
        <f t="shared" si="6"/>
        <v>563</v>
      </c>
      <c r="F46" s="22">
        <f t="shared" si="6"/>
        <v>361</v>
      </c>
      <c r="G46" s="26">
        <f t="shared" si="6"/>
        <v>148626</v>
      </c>
      <c r="H46" s="26">
        <f>H32/H43*1000</f>
        <v>144659.48366924407</v>
      </c>
      <c r="I46" s="26">
        <f>I32/I43*1000</f>
        <v>143996.72145107723</v>
      </c>
      <c r="J46" s="26">
        <f t="shared" si="6"/>
        <v>152162</v>
      </c>
      <c r="K46" s="79">
        <f>SUM(MF:GŘC!K45)</f>
        <v>0</v>
      </c>
      <c r="L46" s="79">
        <f>SUM(MF:GŘC!L45)</f>
        <v>0</v>
      </c>
      <c r="M46" s="190">
        <f t="shared" si="4"/>
        <v>97.33120965998148</v>
      </c>
      <c r="N46" s="201">
        <f>SUM(MF:GŘC!N45)</f>
        <v>0</v>
      </c>
      <c r="O46" s="71">
        <f t="shared" si="0"/>
        <v>105.67046142901033</v>
      </c>
      <c r="P46" s="71">
        <f t="shared" si="1"/>
        <v>0</v>
      </c>
      <c r="Q46" s="71" t="e">
        <f t="shared" si="2"/>
        <v>#DIV/0!</v>
      </c>
      <c r="R46" s="71" t="e">
        <f t="shared" si="3"/>
        <v>#DIV/0!</v>
      </c>
    </row>
    <row r="47" ht="12.75">
      <c r="A47" s="2" t="s">
        <v>58</v>
      </c>
    </row>
  </sheetData>
  <printOptions/>
  <pageMargins left="0.5905511811023623" right="0.7874015748031497" top="0.984251968503937" bottom="0.1968503937007874" header="0.9055118110236221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47"/>
  <sheetViews>
    <sheetView workbookViewId="0" topLeftCell="A1">
      <pane xSplit="1" ySplit="7" topLeftCell="B8" activePane="bottomRight" state="frozen"/>
      <selection pane="topLeft" activeCell="U51" sqref="U51"/>
      <selection pane="topRight" activeCell="U51" sqref="U51"/>
      <selection pane="bottomLeft" activeCell="U51" sqref="U51"/>
      <selection pane="bottomRight" activeCell="V22" sqref="V22"/>
    </sheetView>
  </sheetViews>
  <sheetFormatPr defaultColWidth="9.125" defaultRowHeight="12.75"/>
  <cols>
    <col min="1" max="1" width="34.125" style="2" customWidth="1"/>
    <col min="2" max="2" width="15.00390625" style="2" hidden="1" customWidth="1"/>
    <col min="3" max="3" width="12.625" style="2" hidden="1" customWidth="1"/>
    <col min="4" max="6" width="12.75390625" style="20" hidden="1" customWidth="1"/>
    <col min="7" max="8" width="11.00390625" style="20" hidden="1" customWidth="1"/>
    <col min="9" max="9" width="10.75390625" style="20" customWidth="1"/>
    <col min="10" max="10" width="10.625" style="20" customWidth="1"/>
    <col min="11" max="12" width="10.375" style="20" customWidth="1"/>
    <col min="13" max="13" width="9.375" style="2" hidden="1" customWidth="1"/>
    <col min="14" max="14" width="11.375" style="2" customWidth="1"/>
    <col min="15" max="15" width="9.75390625" style="2" customWidth="1"/>
    <col min="16" max="16" width="9.125" style="2" customWidth="1"/>
    <col min="17" max="17" width="9.375" style="2" bestFit="1" customWidth="1"/>
    <col min="18" max="16384" width="9.125" style="2" customWidth="1"/>
  </cols>
  <sheetData>
    <row r="1" spans="1:12" ht="12.75">
      <c r="A1" s="1" t="s">
        <v>68</v>
      </c>
      <c r="B1" s="1"/>
      <c r="C1" s="1"/>
      <c r="D1" s="19"/>
      <c r="E1" s="19"/>
      <c r="F1" s="19"/>
      <c r="G1" s="19"/>
      <c r="H1" s="19"/>
      <c r="I1" s="19"/>
      <c r="J1" s="19"/>
      <c r="K1" s="19"/>
      <c r="L1" s="19"/>
    </row>
    <row r="2" ht="12.75" hidden="1"/>
    <row r="3" ht="13.5" thickBot="1"/>
    <row r="4" spans="1:18" ht="12.75">
      <c r="A4" s="3"/>
      <c r="B4" s="31">
        <v>2000</v>
      </c>
      <c r="C4" s="34">
        <v>2001</v>
      </c>
      <c r="D4" s="34">
        <v>2002</v>
      </c>
      <c r="E4" s="80">
        <v>2003</v>
      </c>
      <c r="F4" s="34">
        <v>2004</v>
      </c>
      <c r="G4" s="34">
        <v>2005</v>
      </c>
      <c r="H4" s="34">
        <v>2006</v>
      </c>
      <c r="I4" s="34">
        <v>2007</v>
      </c>
      <c r="J4" s="34">
        <v>2008</v>
      </c>
      <c r="K4" s="80">
        <v>2009</v>
      </c>
      <c r="L4" s="34">
        <v>2010</v>
      </c>
      <c r="M4" s="174" t="s">
        <v>32</v>
      </c>
      <c r="N4" s="172">
        <v>2011</v>
      </c>
      <c r="O4" s="167" t="s">
        <v>32</v>
      </c>
      <c r="P4" s="121" t="s">
        <v>32</v>
      </c>
      <c r="Q4" s="121" t="s">
        <v>32</v>
      </c>
      <c r="R4" s="121" t="s">
        <v>32</v>
      </c>
    </row>
    <row r="5" spans="1:18" ht="12.75">
      <c r="A5" s="4" t="s">
        <v>0</v>
      </c>
      <c r="B5" s="32" t="s">
        <v>1</v>
      </c>
      <c r="C5" s="35" t="s">
        <v>1</v>
      </c>
      <c r="D5" s="35" t="s">
        <v>1</v>
      </c>
      <c r="E5" s="81" t="s">
        <v>1</v>
      </c>
      <c r="F5" s="35" t="s">
        <v>1</v>
      </c>
      <c r="G5" s="35" t="s">
        <v>1</v>
      </c>
      <c r="H5" s="35" t="s">
        <v>1</v>
      </c>
      <c r="I5" s="35" t="s">
        <v>1</v>
      </c>
      <c r="J5" s="35" t="s">
        <v>1</v>
      </c>
      <c r="K5" s="35" t="s">
        <v>1</v>
      </c>
      <c r="L5" s="35" t="s">
        <v>1</v>
      </c>
      <c r="M5" s="35" t="s">
        <v>49</v>
      </c>
      <c r="N5" s="49" t="s">
        <v>1</v>
      </c>
      <c r="O5" s="168" t="s">
        <v>48</v>
      </c>
      <c r="P5" s="122" t="s">
        <v>44</v>
      </c>
      <c r="Q5" s="122" t="s">
        <v>51</v>
      </c>
      <c r="R5" s="122" t="s">
        <v>60</v>
      </c>
    </row>
    <row r="6" spans="1:18" ht="13.5" thickBot="1">
      <c r="A6" s="5"/>
      <c r="B6" s="33" t="s">
        <v>34</v>
      </c>
      <c r="C6" s="36" t="s">
        <v>34</v>
      </c>
      <c r="D6" s="75" t="s">
        <v>34</v>
      </c>
      <c r="E6" s="33" t="s">
        <v>34</v>
      </c>
      <c r="F6" s="36" t="s">
        <v>39</v>
      </c>
      <c r="G6" s="36" t="s">
        <v>40</v>
      </c>
      <c r="H6" s="36" t="s">
        <v>40</v>
      </c>
      <c r="I6" s="36" t="s">
        <v>40</v>
      </c>
      <c r="J6" s="36" t="s">
        <v>40</v>
      </c>
      <c r="K6" s="36" t="s">
        <v>40</v>
      </c>
      <c r="L6" s="36" t="s">
        <v>40</v>
      </c>
      <c r="M6" s="175" t="s">
        <v>50</v>
      </c>
      <c r="N6" s="173" t="s">
        <v>40</v>
      </c>
      <c r="O6" s="169" t="s">
        <v>42</v>
      </c>
      <c r="P6" s="123" t="s">
        <v>45</v>
      </c>
      <c r="Q6" s="123" t="s">
        <v>52</v>
      </c>
      <c r="R6" s="123" t="s">
        <v>61</v>
      </c>
    </row>
    <row r="7" spans="1:18" ht="13.5" thickBot="1">
      <c r="A7" s="5" t="s">
        <v>2</v>
      </c>
      <c r="B7" s="51">
        <v>1</v>
      </c>
      <c r="C7" s="36">
        <v>2</v>
      </c>
      <c r="D7" s="36">
        <v>3</v>
      </c>
      <c r="E7" s="74">
        <v>4</v>
      </c>
      <c r="F7" s="36"/>
      <c r="G7" s="36">
        <v>1</v>
      </c>
      <c r="H7" s="36">
        <v>1</v>
      </c>
      <c r="I7" s="36">
        <v>1</v>
      </c>
      <c r="J7" s="36">
        <v>2</v>
      </c>
      <c r="K7" s="36">
        <v>3</v>
      </c>
      <c r="L7" s="36">
        <v>4</v>
      </c>
      <c r="M7" s="36" t="s">
        <v>33</v>
      </c>
      <c r="N7" s="173">
        <v>5</v>
      </c>
      <c r="O7" s="50" t="s">
        <v>54</v>
      </c>
      <c r="P7" s="50" t="s">
        <v>55</v>
      </c>
      <c r="Q7" s="50" t="s">
        <v>35</v>
      </c>
      <c r="R7" s="50" t="s">
        <v>36</v>
      </c>
    </row>
    <row r="8" spans="1:18" ht="12.75">
      <c r="A8" s="90" t="s">
        <v>38</v>
      </c>
      <c r="B8" s="89"/>
      <c r="C8" s="35"/>
      <c r="D8" s="35"/>
      <c r="E8" s="32"/>
      <c r="F8" s="102">
        <f>SUM(MF:ÚZSVM!F8)</f>
        <v>1719068</v>
      </c>
      <c r="G8" s="102">
        <f>G9+G12+G13+G14+G15</f>
        <v>1972299</v>
      </c>
      <c r="H8" s="102">
        <f>H9+H10+H11+H12+H13+H14+H15</f>
        <v>2548927</v>
      </c>
      <c r="I8" s="102">
        <f>I9+I10+I11+I12+I13+I14+I15</f>
        <v>2565828</v>
      </c>
      <c r="J8" s="102">
        <f>J9+J10+J11+J12+J13+J14+J15</f>
        <v>4451686</v>
      </c>
      <c r="K8" s="102">
        <f>K9+K10+K11+K12+K13+K14+K15</f>
        <v>6728779</v>
      </c>
      <c r="L8" s="102">
        <f>L9+L10+L11+L12+L13+L14+L15</f>
        <v>6283643.282</v>
      </c>
      <c r="M8" s="176">
        <f>H8/G8*100</f>
        <v>129.23633789805703</v>
      </c>
      <c r="N8" s="197">
        <f>N9+N10+N11+N12+N13+N14+N15</f>
        <v>5446033</v>
      </c>
      <c r="O8" s="103">
        <f>J8/I8*100</f>
        <v>173.499003050867</v>
      </c>
      <c r="P8" s="103">
        <f>K8/J8*100</f>
        <v>151.15124921209627</v>
      </c>
      <c r="Q8" s="103">
        <f>L8/K8*100</f>
        <v>93.38459892946402</v>
      </c>
      <c r="R8" s="103">
        <f>N8/L8*100</f>
        <v>86.66998993403394</v>
      </c>
    </row>
    <row r="9" spans="1:18" ht="12.75">
      <c r="A9" s="135" t="s">
        <v>56</v>
      </c>
      <c r="B9" s="136"/>
      <c r="C9" s="137"/>
      <c r="D9" s="137"/>
      <c r="E9" s="161"/>
      <c r="F9" s="156">
        <f>SUM(MF:ÚZSVM!F9)</f>
        <v>621555</v>
      </c>
      <c r="G9" s="156">
        <f>SUM(MF:ÚZSVM!G9)</f>
        <v>0</v>
      </c>
      <c r="H9" s="156">
        <f>SUM(MF:ÚZSVM!H9)</f>
        <v>0</v>
      </c>
      <c r="I9" s="156">
        <f>SUM(MF:ÚZSVM!I9)</f>
        <v>0</v>
      </c>
      <c r="J9" s="156">
        <f>SUM(MF:ÚZSVM!J9)</f>
        <v>0</v>
      </c>
      <c r="K9" s="156">
        <f>SUM(MF:ÚZSVM!K9)</f>
        <v>1490441</v>
      </c>
      <c r="L9" s="156">
        <f>SUM(MF:ÚZSVM!L9)+1</f>
        <v>1494523</v>
      </c>
      <c r="M9" s="191"/>
      <c r="N9" s="177">
        <f>SUM(MF:KFA!N9)</f>
        <v>1383569</v>
      </c>
      <c r="O9" s="104"/>
      <c r="P9" s="104"/>
      <c r="Q9" s="104">
        <f aca="true" t="shared" si="0" ref="Q9:Q46">L9/K9*100</f>
        <v>100.2738786708095</v>
      </c>
      <c r="R9" s="104">
        <f aca="true" t="shared" si="1" ref="R9:R46">N9/L9*100</f>
        <v>92.57595901836238</v>
      </c>
    </row>
    <row r="10" spans="1:18" ht="12.75">
      <c r="A10" s="142" t="s">
        <v>53</v>
      </c>
      <c r="B10" s="157"/>
      <c r="C10" s="158"/>
      <c r="D10" s="158"/>
      <c r="E10" s="162"/>
      <c r="F10" s="141"/>
      <c r="G10" s="155">
        <f>SUM(MF:ÚZSVM!G10)</f>
        <v>0</v>
      </c>
      <c r="H10" s="155">
        <f>SUM(MF:ÚZSVM!H10)</f>
        <v>617695</v>
      </c>
      <c r="I10" s="155">
        <f>SUM(MF:ÚZSVM!I10)</f>
        <v>644814</v>
      </c>
      <c r="J10" s="155">
        <f>SUM(MF:ÚZSVM!J10)</f>
        <v>648551</v>
      </c>
      <c r="K10" s="155">
        <f>SUM(MF:ÚZSVM!K10)</f>
        <v>642528</v>
      </c>
      <c r="L10" s="155">
        <f>SUM(MF:ÚZSVM!L10)</f>
        <v>589132</v>
      </c>
      <c r="M10" s="178"/>
      <c r="N10" s="179">
        <f>SUM(MF:KFA!N10)</f>
        <v>541314</v>
      </c>
      <c r="O10" s="113">
        <f aca="true" t="shared" si="2" ref="O10:O46">J10/I10*100</f>
        <v>100.57954697013403</v>
      </c>
      <c r="P10" s="113">
        <f aca="true" t="shared" si="3" ref="P10:P46">K10/J10*100</f>
        <v>99.07131436078272</v>
      </c>
      <c r="Q10" s="113">
        <f t="shared" si="0"/>
        <v>91.6897006823049</v>
      </c>
      <c r="R10" s="113">
        <f t="shared" si="1"/>
        <v>91.8833130775446</v>
      </c>
    </row>
    <row r="11" spans="1:18" ht="12.75">
      <c r="A11" s="142" t="s">
        <v>57</v>
      </c>
      <c r="B11" s="157"/>
      <c r="C11" s="158"/>
      <c r="D11" s="158"/>
      <c r="E11" s="162"/>
      <c r="F11" s="141"/>
      <c r="G11" s="155">
        <f>SUM(MF:ÚZSVM!G11)</f>
        <v>0</v>
      </c>
      <c r="H11" s="155">
        <f>SUM(MF:ÚZSVM!H11)</f>
        <v>0</v>
      </c>
      <c r="I11" s="155">
        <f>SUM(MF:ÚZSVM!I11)</f>
        <v>0</v>
      </c>
      <c r="J11" s="155">
        <f>SUM(MF:ÚZSVM!J11)</f>
        <v>0</v>
      </c>
      <c r="K11" s="155">
        <f>SUM(MF:ÚZSVM!K11)</f>
        <v>1574855</v>
      </c>
      <c r="L11" s="155">
        <f>SUM(MF:ÚZSVM!L11)</f>
        <v>1421591</v>
      </c>
      <c r="M11" s="178"/>
      <c r="N11" s="179">
        <f>SUM(MF:KFA!N11)</f>
        <v>1205958</v>
      </c>
      <c r="O11" s="113"/>
      <c r="P11" s="113"/>
      <c r="Q11" s="113">
        <f t="shared" si="0"/>
        <v>90.26805642424223</v>
      </c>
      <c r="R11" s="113">
        <f t="shared" si="1"/>
        <v>84.83157251276914</v>
      </c>
    </row>
    <row r="12" spans="1:18" ht="12.75">
      <c r="A12" s="149" t="s">
        <v>46</v>
      </c>
      <c r="B12" s="107"/>
      <c r="C12" s="108"/>
      <c r="D12" s="59"/>
      <c r="E12" s="112"/>
      <c r="F12" s="111">
        <f>SUM(MF:ÚZSVM!F12)</f>
        <v>1097513</v>
      </c>
      <c r="G12" s="111">
        <f>SUM(MF:ÚZSVM!G12)-1</f>
        <v>1394862</v>
      </c>
      <c r="H12" s="111">
        <f>SUM(MF:ÚZSVM!H12)</f>
        <v>1043917</v>
      </c>
      <c r="I12" s="111">
        <f>SUM(MF:ÚZSVM!I12)</f>
        <v>1242346</v>
      </c>
      <c r="J12" s="111">
        <f>SUM(MF:ÚZSVM!J12)</f>
        <v>3031982</v>
      </c>
      <c r="K12" s="111">
        <f>SUM(MF:ÚZSVM!K12)+1</f>
        <v>2912219</v>
      </c>
      <c r="L12" s="155">
        <f>SUM(MF:ÚZSVM!L12)</f>
        <v>2608140.282</v>
      </c>
      <c r="M12" s="178">
        <f aca="true" t="shared" si="4" ref="M12:M46">H12/G12*100</f>
        <v>74.84016339967681</v>
      </c>
      <c r="N12" s="179">
        <f>SUM(MF:KFA!N12)</f>
        <v>2095516</v>
      </c>
      <c r="O12" s="113">
        <f t="shared" si="2"/>
        <v>244.05294499277977</v>
      </c>
      <c r="P12" s="113">
        <f t="shared" si="3"/>
        <v>96.05000953171886</v>
      </c>
      <c r="Q12" s="113">
        <f t="shared" si="0"/>
        <v>89.5585215947015</v>
      </c>
      <c r="R12" s="113">
        <f t="shared" si="1"/>
        <v>80.34521817948747</v>
      </c>
    </row>
    <row r="13" spans="1:18" ht="12.75">
      <c r="A13" s="106" t="s">
        <v>43</v>
      </c>
      <c r="B13" s="107"/>
      <c r="C13" s="108"/>
      <c r="D13" s="59"/>
      <c r="E13" s="112"/>
      <c r="F13" s="111"/>
      <c r="G13" s="111">
        <f>SUM(MF:ÚZSVM!G13)</f>
        <v>577437</v>
      </c>
      <c r="H13" s="111">
        <f>SUM(MF:ÚZSVM!H13)+1</f>
        <v>887315</v>
      </c>
      <c r="I13" s="111">
        <f>SUM(MF:ÚZSVM!I13)</f>
        <v>678392</v>
      </c>
      <c r="J13" s="111">
        <f>SUM(MF:ÚZSVM!J13)</f>
        <v>764217</v>
      </c>
      <c r="K13" s="111">
        <f>SUM(MF:ÚZSVM!K13)</f>
        <v>40027</v>
      </c>
      <c r="L13" s="111">
        <f>SUM(MF:ÚZSVM!L13)</f>
        <v>31610</v>
      </c>
      <c r="M13" s="178">
        <f t="shared" si="4"/>
        <v>153.66438243479374</v>
      </c>
      <c r="N13" s="179">
        <f>SUM(MF:KFA!N13)</f>
        <v>19993</v>
      </c>
      <c r="O13" s="113">
        <f t="shared" si="2"/>
        <v>112.65123999103763</v>
      </c>
      <c r="P13" s="113">
        <f t="shared" si="3"/>
        <v>5.237648468955807</v>
      </c>
      <c r="Q13" s="113">
        <f t="shared" si="0"/>
        <v>78.97169410647813</v>
      </c>
      <c r="R13" s="113">
        <f t="shared" si="1"/>
        <v>63.24897184435305</v>
      </c>
    </row>
    <row r="14" spans="1:18" ht="12.75">
      <c r="A14" s="106" t="s">
        <v>41</v>
      </c>
      <c r="B14" s="107"/>
      <c r="C14" s="108"/>
      <c r="D14" s="59"/>
      <c r="E14" s="112"/>
      <c r="F14" s="111"/>
      <c r="G14" s="111">
        <f>SUM(MF:ÚZSVM!G14)</f>
        <v>0</v>
      </c>
      <c r="H14" s="111">
        <f>SUM(MF:ÚZSVM!H14)</f>
        <v>0</v>
      </c>
      <c r="I14" s="111">
        <f>SUM(MF:ÚZSVM!I14)</f>
        <v>276</v>
      </c>
      <c r="J14" s="111">
        <f>SUM(MF:ÚZSVM!J14)</f>
        <v>6936</v>
      </c>
      <c r="K14" s="111">
        <f>SUM(MF:ÚZSVM!K14)</f>
        <v>20764</v>
      </c>
      <c r="L14" s="111">
        <f>SUM(MF:ÚZSVM!L14)</f>
        <v>20461</v>
      </c>
      <c r="M14" s="178"/>
      <c r="N14" s="179">
        <f>SUM(MF:KFA!N14)</f>
        <v>20674</v>
      </c>
      <c r="O14" s="113">
        <f t="shared" si="2"/>
        <v>2513.0434782608695</v>
      </c>
      <c r="P14" s="113">
        <f t="shared" si="3"/>
        <v>299.3656286043829</v>
      </c>
      <c r="Q14" s="113">
        <f t="shared" si="0"/>
        <v>98.54074359468311</v>
      </c>
      <c r="R14" s="113">
        <f t="shared" si="1"/>
        <v>101.0410048384732</v>
      </c>
    </row>
    <row r="15" spans="1:18" ht="13.5" thickBot="1">
      <c r="A15" s="21" t="s">
        <v>47</v>
      </c>
      <c r="B15" s="91"/>
      <c r="C15" s="92"/>
      <c r="D15" s="26"/>
      <c r="E15" s="46"/>
      <c r="F15" s="100"/>
      <c r="G15" s="100">
        <f>SUM(MF:ÚZSVM!G15)</f>
        <v>0</v>
      </c>
      <c r="H15" s="100">
        <f>SUM(MF:ÚZSVM!H15)</f>
        <v>0</v>
      </c>
      <c r="I15" s="100">
        <f>SUM(MF:ÚZSVM!I15)</f>
        <v>0</v>
      </c>
      <c r="J15" s="100">
        <f>SUM(MF:ÚZSVM!J15)</f>
        <v>0</v>
      </c>
      <c r="K15" s="100">
        <f>SUM(MF:ÚZSVM!K15)</f>
        <v>47945</v>
      </c>
      <c r="L15" s="100">
        <f>SUM(MF:ÚZSVM!L15)</f>
        <v>118186</v>
      </c>
      <c r="M15" s="178"/>
      <c r="N15" s="179">
        <f>SUM(MF:KFA!N15)</f>
        <v>179009</v>
      </c>
      <c r="O15" s="113"/>
      <c r="P15" s="105"/>
      <c r="Q15" s="105">
        <f t="shared" si="0"/>
        <v>246.5032850140786</v>
      </c>
      <c r="R15" s="105">
        <f t="shared" si="1"/>
        <v>151.4637943580458</v>
      </c>
    </row>
    <row r="16" spans="1:18" ht="12.75">
      <c r="A16" s="6" t="s">
        <v>3</v>
      </c>
      <c r="B16" s="42">
        <f>SUM(MF:ÚZSVM!B15)</f>
        <v>0</v>
      </c>
      <c r="C16" s="38">
        <f>SUM(MF:ÚZSVM!C15)</f>
        <v>0</v>
      </c>
      <c r="D16" s="38">
        <f>SUM(MF:ÚZSVM!D15)</f>
        <v>0</v>
      </c>
      <c r="E16" s="42">
        <f>SUM(MF:ÚZSVM!E15)-1</f>
        <v>-1</v>
      </c>
      <c r="F16" s="38">
        <f>SUM(MF:ÚZSVM!F15)</f>
        <v>0</v>
      </c>
      <c r="G16" s="38">
        <f>SUM(MF:ÚZSVM!G16)+1</f>
        <v>16084507</v>
      </c>
      <c r="H16" s="38">
        <f>SUM(MF:ÚZSVM!H16)+1</f>
        <v>16443648</v>
      </c>
      <c r="I16" s="38">
        <f>SUM(MF:ÚZSVM!I16)+1</f>
        <v>17314427</v>
      </c>
      <c r="J16" s="38">
        <f>SUM(MF:ÚZSVM!J16)</f>
        <v>17315365</v>
      </c>
      <c r="K16" s="38">
        <f>SUM(MF:ÚZSVM!K16)</f>
        <v>18847800</v>
      </c>
      <c r="L16" s="38">
        <f>SUM(MF:ÚZSVM!L16)</f>
        <v>16712959</v>
      </c>
      <c r="M16" s="192">
        <f t="shared" si="4"/>
        <v>102.2328380969339</v>
      </c>
      <c r="N16" s="202">
        <f>SUM(MF:KFA!N16)</f>
        <v>16495473</v>
      </c>
      <c r="O16" s="171">
        <f t="shared" si="2"/>
        <v>100.00541744754246</v>
      </c>
      <c r="P16" s="65">
        <f t="shared" si="3"/>
        <v>108.85014552104447</v>
      </c>
      <c r="Q16" s="65">
        <f t="shared" si="0"/>
        <v>88.67326160082344</v>
      </c>
      <c r="R16" s="65">
        <f t="shared" si="1"/>
        <v>98.6986984171983</v>
      </c>
    </row>
    <row r="17" spans="1:18" ht="12.75">
      <c r="A17" s="8" t="s">
        <v>4</v>
      </c>
      <c r="B17" s="30"/>
      <c r="C17" s="53"/>
      <c r="D17" s="18"/>
      <c r="E17" s="30"/>
      <c r="F17" s="18"/>
      <c r="G17" s="18"/>
      <c r="H17" s="18"/>
      <c r="I17" s="18"/>
      <c r="J17" s="18"/>
      <c r="K17" s="18"/>
      <c r="L17" s="18"/>
      <c r="M17" s="18"/>
      <c r="N17" s="182"/>
      <c r="O17" s="66"/>
      <c r="P17" s="66"/>
      <c r="Q17" s="66"/>
      <c r="R17" s="66"/>
    </row>
    <row r="18" spans="1:18" ht="12.75">
      <c r="A18" s="6" t="s">
        <v>5</v>
      </c>
      <c r="B18" s="42">
        <f>SUM(MF:ÚZSVM!B17)</f>
        <v>0</v>
      </c>
      <c r="C18" s="54">
        <f>SUM(MF:ÚZSVM!C17)</f>
        <v>0</v>
      </c>
      <c r="D18" s="38">
        <f>SUM(MF:ÚZSVM!D17)</f>
        <v>0</v>
      </c>
      <c r="E18" s="42">
        <f>SUM(MF:ÚZSVM!E17)-1</f>
        <v>-1</v>
      </c>
      <c r="F18" s="38">
        <f>SUM(MF:ÚZSVM!F17)</f>
        <v>0</v>
      </c>
      <c r="G18" s="38">
        <f>SUM(MF:ÚZSVM!G18)-1</f>
        <v>1788357</v>
      </c>
      <c r="H18" s="38">
        <f>SUM(MF:ÚZSVM!H18)</f>
        <v>1700239</v>
      </c>
      <c r="I18" s="38">
        <f>SUM(MF:ÚZSVM!I18)</f>
        <v>1791982</v>
      </c>
      <c r="J18" s="38">
        <f>SUM(MF:ÚZSVM!J18)-1</f>
        <v>1410922</v>
      </c>
      <c r="K18" s="38">
        <f>SUM(MF:ÚZSVM!K18)</f>
        <v>2503814</v>
      </c>
      <c r="L18" s="38">
        <f>SUM(MF:ÚZSVM!L18)</f>
        <v>1400364</v>
      </c>
      <c r="M18" s="181">
        <f t="shared" si="4"/>
        <v>95.07268403344523</v>
      </c>
      <c r="N18" s="198">
        <f>SUM(MF:KFA!N18)</f>
        <v>1743101</v>
      </c>
      <c r="O18" s="65">
        <f t="shared" si="2"/>
        <v>78.73527747488535</v>
      </c>
      <c r="P18" s="65">
        <f t="shared" si="3"/>
        <v>177.45942015221252</v>
      </c>
      <c r="Q18" s="65">
        <f t="shared" si="0"/>
        <v>55.929234360060285</v>
      </c>
      <c r="R18" s="65">
        <f t="shared" si="1"/>
        <v>124.47485082449991</v>
      </c>
    </row>
    <row r="19" spans="1:18" ht="12.75">
      <c r="A19" s="8" t="s">
        <v>6</v>
      </c>
      <c r="B19" s="30"/>
      <c r="C19" s="55"/>
      <c r="D19" s="18"/>
      <c r="E19" s="30"/>
      <c r="F19" s="18"/>
      <c r="G19" s="18"/>
      <c r="H19" s="18"/>
      <c r="I19" s="18"/>
      <c r="J19" s="18"/>
      <c r="K19" s="18"/>
      <c r="L19" s="18"/>
      <c r="M19" s="18"/>
      <c r="N19" s="182">
        <f>SUM(MF:KFA!N19)</f>
        <v>0</v>
      </c>
      <c r="O19" s="66"/>
      <c r="P19" s="66"/>
      <c r="Q19" s="66"/>
      <c r="R19" s="66"/>
    </row>
    <row r="20" spans="1:18" ht="12.75">
      <c r="A20" s="8" t="s">
        <v>7</v>
      </c>
      <c r="B20" s="30">
        <f>SUM(MF:ÚZSVM!B19)</f>
        <v>0</v>
      </c>
      <c r="C20" s="53">
        <f>SUM(MF:ÚZSVM!C19)</f>
        <v>0</v>
      </c>
      <c r="D20" s="18">
        <f>SUM(MF:ÚZSVM!D19)</f>
        <v>0</v>
      </c>
      <c r="E20" s="30">
        <f>SUM(MF:ÚZSVM!E19)</f>
        <v>0</v>
      </c>
      <c r="F20" s="18">
        <f>SUM(MF:ÚZSVM!F19)</f>
        <v>0</v>
      </c>
      <c r="G20" s="18">
        <f>SUM(MF:ÚZSVM!G20)-1</f>
        <v>584557</v>
      </c>
      <c r="H20" s="18">
        <f>SUM(MF:ÚZSVM!H20)-1</f>
        <v>637894</v>
      </c>
      <c r="I20" s="18">
        <f>SUM(MF:ÚZSVM!I20)</f>
        <v>685085</v>
      </c>
      <c r="J20" s="18">
        <f>SUM(MF:ÚZSVM!J20)-1</f>
        <v>608633</v>
      </c>
      <c r="K20" s="18">
        <f>SUM(MF:ÚZSVM!K20)</f>
        <v>1758561</v>
      </c>
      <c r="L20" s="18">
        <f>SUM(MF:ÚZSVM!L20)</f>
        <v>945159</v>
      </c>
      <c r="M20" s="64">
        <f t="shared" si="4"/>
        <v>109.124345444499</v>
      </c>
      <c r="N20" s="182">
        <f>SUM(MF:KFA!N20)</f>
        <v>1285140</v>
      </c>
      <c r="O20" s="66">
        <f t="shared" si="2"/>
        <v>88.84050884196851</v>
      </c>
      <c r="P20" s="66">
        <f t="shared" si="3"/>
        <v>288.936189789249</v>
      </c>
      <c r="Q20" s="66">
        <f t="shared" si="0"/>
        <v>53.74615950200192</v>
      </c>
      <c r="R20" s="66">
        <f t="shared" si="1"/>
        <v>135.97077317149814</v>
      </c>
    </row>
    <row r="21" spans="1:18" ht="12.75">
      <c r="A21" s="8" t="s">
        <v>8</v>
      </c>
      <c r="B21" s="30">
        <f>SUM(MF:ÚZSVM!B20)</f>
        <v>431725</v>
      </c>
      <c r="C21" s="53">
        <f>SUM(MF:ÚZSVM!C20)</f>
        <v>462409</v>
      </c>
      <c r="D21" s="18">
        <f>SUM(MF:ÚZSVM!D20)</f>
        <v>471986</v>
      </c>
      <c r="E21" s="30">
        <f>SUM(MF:ÚZSVM!E20)-1</f>
        <v>469285</v>
      </c>
      <c r="F21" s="18">
        <f>SUM(MF:ÚZSVM!F20)</f>
        <v>415738</v>
      </c>
      <c r="G21" s="18">
        <f>SUM(MF:ÚZSVM!G21)</f>
        <v>540541</v>
      </c>
      <c r="H21" s="18">
        <f>SUM(MF:ÚZSVM!H21)+1</f>
        <v>515454</v>
      </c>
      <c r="I21" s="18">
        <f>SUM(MF:ÚZSVM!I21)</f>
        <v>696826</v>
      </c>
      <c r="J21" s="18">
        <f>SUM(MF:ÚZSVM!J21)</f>
        <v>799728</v>
      </c>
      <c r="K21" s="18">
        <f>SUM(MF:ÚZSVM!K21)</f>
        <v>738941</v>
      </c>
      <c r="L21" s="18">
        <f>SUM(MF:ÚZSVM!L21)</f>
        <v>453309</v>
      </c>
      <c r="M21" s="64">
        <f t="shared" si="4"/>
        <v>95.3589089449274</v>
      </c>
      <c r="N21" s="182">
        <f>SUM(MF:KFA!N21)</f>
        <v>457961</v>
      </c>
      <c r="O21" s="66">
        <f t="shared" si="2"/>
        <v>114.7672446206083</v>
      </c>
      <c r="P21" s="66">
        <f t="shared" si="3"/>
        <v>92.3990406738291</v>
      </c>
      <c r="Q21" s="66">
        <f t="shared" si="0"/>
        <v>61.345763734858394</v>
      </c>
      <c r="R21" s="66">
        <f t="shared" si="1"/>
        <v>101.02623155507611</v>
      </c>
    </row>
    <row r="22" spans="1:18" ht="12.75">
      <c r="A22" s="12" t="s">
        <v>9</v>
      </c>
      <c r="B22" s="43">
        <f>SUM(MF:ÚZSVM!B21)</f>
        <v>1556959</v>
      </c>
      <c r="C22" s="56">
        <f>SUM(MF:ÚZSVM!C21)</f>
        <v>1469802</v>
      </c>
      <c r="D22" s="39">
        <f>SUM(MF:ÚZSVM!D21)</f>
        <v>878991</v>
      </c>
      <c r="E22" s="43">
        <f>SUM(MF:ÚZSVM!E21)</f>
        <v>981072</v>
      </c>
      <c r="F22" s="39">
        <f>SUM(MF:ÚZSVM!F21)</f>
        <v>1024332</v>
      </c>
      <c r="G22" s="39">
        <f>SUM(MF:ÚZSVM!G22)</f>
        <v>663259</v>
      </c>
      <c r="H22" s="39">
        <f>SUM(MF:ÚZSVM!H22)</f>
        <v>546891</v>
      </c>
      <c r="I22" s="39">
        <f>SUM(MF:ÚZSVM!I22)</f>
        <v>410071</v>
      </c>
      <c r="J22" s="39">
        <f>SUM(MF:ÚZSVM!J22)</f>
        <v>2561</v>
      </c>
      <c r="K22" s="39">
        <f>SUM(MF:ÚZSVM!K22)</f>
        <v>6312</v>
      </c>
      <c r="L22" s="39">
        <f>SUM(MF:ÚZSVM!L22)</f>
        <v>1896</v>
      </c>
      <c r="M22" s="39">
        <f t="shared" si="4"/>
        <v>82.4551193425193</v>
      </c>
      <c r="N22" s="183">
        <f>SUM(MF:KFA!N22)</f>
        <v>0</v>
      </c>
      <c r="O22" s="72">
        <f t="shared" si="2"/>
        <v>0.6245259967176415</v>
      </c>
      <c r="P22" s="72">
        <f t="shared" si="3"/>
        <v>246.46622413119874</v>
      </c>
      <c r="Q22" s="70">
        <f t="shared" si="0"/>
        <v>30.038022813688215</v>
      </c>
      <c r="R22" s="70">
        <f t="shared" si="1"/>
        <v>0</v>
      </c>
    </row>
    <row r="23" spans="1:18" ht="1.5" customHeight="1">
      <c r="A23" s="4"/>
      <c r="B23" s="24"/>
      <c r="C23" s="25"/>
      <c r="D23" s="37"/>
      <c r="E23" s="24"/>
      <c r="F23" s="37"/>
      <c r="G23" s="37"/>
      <c r="H23" s="37"/>
      <c r="I23" s="37"/>
      <c r="J23" s="37"/>
      <c r="K23" s="37"/>
      <c r="L23" s="37"/>
      <c r="M23" s="37"/>
      <c r="N23" s="184">
        <f>SUM(MF:KFA!N23)</f>
        <v>0</v>
      </c>
      <c r="O23" s="70" t="e">
        <f t="shared" si="2"/>
        <v>#DIV/0!</v>
      </c>
      <c r="P23" s="70" t="e">
        <f t="shared" si="3"/>
        <v>#DIV/0!</v>
      </c>
      <c r="Q23" s="165" t="e">
        <f t="shared" si="0"/>
        <v>#DIV/0!</v>
      </c>
      <c r="R23" s="166" t="e">
        <f t="shared" si="1"/>
        <v>#DIV/0!</v>
      </c>
    </row>
    <row r="24" spans="1:18" ht="12.75">
      <c r="A24" s="6" t="s">
        <v>10</v>
      </c>
      <c r="B24" s="42">
        <f>SUM(MF:ÚZSVM!B23)</f>
        <v>0</v>
      </c>
      <c r="C24" s="38">
        <f>SUM(MF:ÚZSVM!C23)</f>
        <v>0</v>
      </c>
      <c r="D24" s="38">
        <f>SUM(MF:ÚZSVM!D23)</f>
        <v>0</v>
      </c>
      <c r="E24" s="42">
        <f>SUM(MF:ÚZSVM!E23)</f>
        <v>0</v>
      </c>
      <c r="F24" s="38">
        <f>SUM(MF:ÚZSVM!F23)</f>
        <v>0</v>
      </c>
      <c r="G24" s="38">
        <f>SUM(MF:ÚZSVM!G24)+2</f>
        <v>14296150</v>
      </c>
      <c r="H24" s="38">
        <f>SUM(MF:ÚZSVM!H24)+1</f>
        <v>14743409</v>
      </c>
      <c r="I24" s="38">
        <f>SUM(MF:ÚZSVM!I24)+1</f>
        <v>15522445</v>
      </c>
      <c r="J24" s="38">
        <f>SUM(MF:ÚZSVM!J24)+1</f>
        <v>15904443</v>
      </c>
      <c r="K24" s="38">
        <f>SUM(MF:ÚZSVM!K24)</f>
        <v>16343986</v>
      </c>
      <c r="L24" s="38">
        <f>SUM(MF:ÚZSVM!L24)</f>
        <v>15312595</v>
      </c>
      <c r="M24" s="181">
        <f t="shared" si="4"/>
        <v>103.12852761058046</v>
      </c>
      <c r="N24" s="198">
        <f>SUM(MF:KFA!N24)</f>
        <v>14752372</v>
      </c>
      <c r="O24" s="65">
        <f t="shared" si="2"/>
        <v>102.46093962645703</v>
      </c>
      <c r="P24" s="65">
        <f t="shared" si="3"/>
        <v>102.76364912622216</v>
      </c>
      <c r="Q24" s="65">
        <f t="shared" si="0"/>
        <v>93.689476973365</v>
      </c>
      <c r="R24" s="65">
        <f t="shared" si="1"/>
        <v>96.34142351443371</v>
      </c>
    </row>
    <row r="25" spans="1:18" ht="12.75">
      <c r="A25" s="8" t="s">
        <v>6</v>
      </c>
      <c r="B25" s="30"/>
      <c r="C25" s="53"/>
      <c r="D25" s="18"/>
      <c r="E25" s="9"/>
      <c r="F25" s="9"/>
      <c r="G25" s="18"/>
      <c r="H25" s="18"/>
      <c r="I25" s="18"/>
      <c r="J25" s="18"/>
      <c r="K25" s="18"/>
      <c r="L25" s="18"/>
      <c r="M25" s="64"/>
      <c r="N25" s="182"/>
      <c r="O25" s="66"/>
      <c r="P25" s="66"/>
      <c r="Q25" s="66"/>
      <c r="R25" s="66"/>
    </row>
    <row r="26" spans="1:18" ht="12.75">
      <c r="A26" s="14" t="s">
        <v>11</v>
      </c>
      <c r="B26" s="44">
        <f>SUM(MF:ÚZSVM!B25)</f>
        <v>0</v>
      </c>
      <c r="C26" s="57">
        <f>SUM(MF:ÚZSVM!C25)</f>
        <v>0</v>
      </c>
      <c r="D26" s="40">
        <f>SUM(MF:ÚZSVM!D25)</f>
        <v>0</v>
      </c>
      <c r="E26" s="15">
        <f>SUM(MF:ÚZSVM!E25)+1</f>
        <v>1</v>
      </c>
      <c r="F26" s="15">
        <f>SUM(MF:ÚZSVM!F25)</f>
        <v>0</v>
      </c>
      <c r="G26" s="40">
        <f>SUM(MF:ÚZSVM!G26)+1</f>
        <v>7188089</v>
      </c>
      <c r="H26" s="40">
        <f>SUM(MF:ÚZSVM!H26)</f>
        <v>7496359</v>
      </c>
      <c r="I26" s="40">
        <f>SUM(MF:ÚZSVM!I26)</f>
        <v>7984615</v>
      </c>
      <c r="J26" s="40">
        <f>SUM(MF:ÚZSVM!J26)</f>
        <v>8201213</v>
      </c>
      <c r="K26" s="40">
        <f>SUM(MF:ÚZSVM!K26)</f>
        <v>8583848</v>
      </c>
      <c r="L26" s="40">
        <f>SUM(MF:ÚZSVM!L26)</f>
        <v>8196246</v>
      </c>
      <c r="M26" s="185">
        <f t="shared" si="4"/>
        <v>104.28862246975517</v>
      </c>
      <c r="N26" s="199">
        <f>SUM(MF:KFA!N26)</f>
        <v>7627157</v>
      </c>
      <c r="O26" s="67">
        <f t="shared" si="2"/>
        <v>102.71269184550538</v>
      </c>
      <c r="P26" s="67">
        <f t="shared" si="3"/>
        <v>104.6655903218219</v>
      </c>
      <c r="Q26" s="67">
        <f t="shared" si="0"/>
        <v>95.48451929717302</v>
      </c>
      <c r="R26" s="67">
        <f t="shared" si="1"/>
        <v>93.05671157259067</v>
      </c>
    </row>
    <row r="27" spans="1:18" ht="12.75">
      <c r="A27" s="8" t="s">
        <v>12</v>
      </c>
      <c r="B27" s="30">
        <f>SUM(MF:ÚZSVM!B26)</f>
        <v>4695616</v>
      </c>
      <c r="C27" s="53">
        <f>SUM(MF:ÚZSVM!C26)</f>
        <v>5268719</v>
      </c>
      <c r="D27" s="18">
        <f>SUM(MF:ÚZSVM!D26)</f>
        <v>5858816</v>
      </c>
      <c r="E27" s="9">
        <f>SUM(MF:ÚZSVM!E26)+1</f>
        <v>7114812</v>
      </c>
      <c r="F27" s="9">
        <f>SUM(MF:ÚZSVM!F26)</f>
        <v>6995189</v>
      </c>
      <c r="G27" s="18">
        <f>SUM(MF:ÚZSVM!G27)+1</f>
        <v>7120594</v>
      </c>
      <c r="H27" s="18">
        <f>SUM(MF:ÚZSVM!H27)+1</f>
        <v>7455375</v>
      </c>
      <c r="I27" s="18">
        <f>SUM(MF:ÚZSVM!I27)</f>
        <v>7933716</v>
      </c>
      <c r="J27" s="18">
        <f>SUM(MF:ÚZSVM!J27)</f>
        <v>8154626</v>
      </c>
      <c r="K27" s="18">
        <f>SUM(MF:ÚZSVM!K27)</f>
        <v>8534395</v>
      </c>
      <c r="L27" s="18">
        <f>SUM(MF:ÚZSVM!L27)</f>
        <v>8131438</v>
      </c>
      <c r="M27" s="64">
        <f t="shared" si="4"/>
        <v>104.7015880978469</v>
      </c>
      <c r="N27" s="182">
        <f>SUM(MF:KFA!N27)</f>
        <v>7578194</v>
      </c>
      <c r="O27" s="66">
        <f t="shared" si="2"/>
        <v>102.784445523384</v>
      </c>
      <c r="P27" s="66">
        <f t="shared" si="3"/>
        <v>104.65709892765163</v>
      </c>
      <c r="Q27" s="66">
        <f t="shared" si="0"/>
        <v>95.27843508532239</v>
      </c>
      <c r="R27" s="163">
        <f t="shared" si="1"/>
        <v>93.19623417161884</v>
      </c>
    </row>
    <row r="28" spans="1:18" ht="12.75">
      <c r="A28" s="23" t="s">
        <v>13</v>
      </c>
      <c r="B28" s="52">
        <f>SUM(MF:ÚZSVM!B27)</f>
        <v>4671745</v>
      </c>
      <c r="C28" s="61">
        <f>SUM(MF:ÚZSVM!C27)</f>
        <v>5247924</v>
      </c>
      <c r="D28" s="76">
        <f>SUM(MF:ÚZSVM!D27)</f>
        <v>5832971</v>
      </c>
      <c r="E28" s="77">
        <f>SUM(MF:ÚZSVM!E27)</f>
        <v>7041116</v>
      </c>
      <c r="F28" s="77">
        <f>SUM(MF:ÚZSVM!F27)</f>
        <v>6920709</v>
      </c>
      <c r="G28" s="76">
        <f>SUM(MF:ÚZSVM!G28)</f>
        <v>67495</v>
      </c>
      <c r="H28" s="76">
        <f>SUM(MF:ÚZSVM!H28)-1</f>
        <v>40984</v>
      </c>
      <c r="I28" s="76">
        <f>SUM(MF:ÚZSVM!I28)</f>
        <v>50899</v>
      </c>
      <c r="J28" s="76">
        <f>SUM(MF:ÚZSVM!J28)</f>
        <v>46587</v>
      </c>
      <c r="K28" s="76">
        <f>SUM(MF:ÚZSVM!K28)</f>
        <v>49453</v>
      </c>
      <c r="L28" s="76">
        <f>SUM(MF:ÚZSVM!L28)</f>
        <v>64808</v>
      </c>
      <c r="M28" s="64">
        <f t="shared" si="4"/>
        <v>60.72153492851322</v>
      </c>
      <c r="N28" s="182">
        <f>SUM(MF:KFA!N28)</f>
        <v>48963</v>
      </c>
      <c r="O28" s="66">
        <f t="shared" si="2"/>
        <v>91.52832079215702</v>
      </c>
      <c r="P28" s="66">
        <f t="shared" si="3"/>
        <v>106.15193079614484</v>
      </c>
      <c r="Q28" s="66">
        <f t="shared" si="0"/>
        <v>131.04968353790468</v>
      </c>
      <c r="R28" s="163">
        <f t="shared" si="1"/>
        <v>75.55085791877546</v>
      </c>
    </row>
    <row r="29" spans="1:18" ht="12.75">
      <c r="A29" s="16" t="s">
        <v>14</v>
      </c>
      <c r="B29" s="45">
        <f>SUM(MF:ÚZSVM!B28)</f>
        <v>23871</v>
      </c>
      <c r="C29" s="58">
        <f>SUM(MF:ÚZSVM!C28)</f>
        <v>20795</v>
      </c>
      <c r="D29" s="41">
        <f>SUM(MF:ÚZSVM!D28)</f>
        <v>25845</v>
      </c>
      <c r="E29" s="17">
        <f>SUM(MF:ÚZSVM!E28)</f>
        <v>73695</v>
      </c>
      <c r="F29" s="17">
        <f>SUM(MF:ÚZSVM!F28)</f>
        <v>74480</v>
      </c>
      <c r="G29" s="41">
        <f>SUM(MF:ÚZSVM!G29)</f>
        <v>2500665</v>
      </c>
      <c r="H29" s="41">
        <f>SUM(MF:ÚZSVM!H29)</f>
        <v>2618900</v>
      </c>
      <c r="I29" s="41">
        <f>SUM(MF:ÚZSVM!I29)+1</f>
        <v>2789595</v>
      </c>
      <c r="J29" s="41">
        <f>SUM(MF:ÚZSVM!J29)+1</f>
        <v>2866180</v>
      </c>
      <c r="K29" s="41">
        <f>SUM(MF:ÚZSVM!K29)</f>
        <v>2903334</v>
      </c>
      <c r="L29" s="41">
        <f>SUM(MF:ÚZSVM!L29)</f>
        <v>2769352</v>
      </c>
      <c r="M29" s="186">
        <f t="shared" si="4"/>
        <v>104.72814231414445</v>
      </c>
      <c r="N29" s="200">
        <f>SUM(MF:KFA!N29)+1</f>
        <v>2585189</v>
      </c>
      <c r="O29" s="68">
        <f t="shared" si="2"/>
        <v>102.74538060184364</v>
      </c>
      <c r="P29" s="68">
        <f t="shared" si="3"/>
        <v>101.2962898352511</v>
      </c>
      <c r="Q29" s="68">
        <f t="shared" si="0"/>
        <v>95.38523642130048</v>
      </c>
      <c r="R29" s="67">
        <f t="shared" si="1"/>
        <v>93.3499605683929</v>
      </c>
    </row>
    <row r="30" spans="1:18" ht="12.75">
      <c r="A30" s="16" t="s">
        <v>15</v>
      </c>
      <c r="B30" s="45">
        <f>SUM(MF:ÚZSVM!B29)</f>
        <v>1639257</v>
      </c>
      <c r="C30" s="58">
        <f>SUM(MF:ÚZSVM!C29)</f>
        <v>1840871</v>
      </c>
      <c r="D30" s="41">
        <f>SUM(MF:ÚZSVM!D29)</f>
        <v>2047326</v>
      </c>
      <c r="E30" s="17">
        <f>SUM(MF:ÚZSVM!E29)+1</f>
        <v>2478803</v>
      </c>
      <c r="F30" s="17">
        <f>SUM(MF:ÚZSVM!F29)</f>
        <v>2427260</v>
      </c>
      <c r="G30" s="41">
        <f>SUM(MF:ÚZSVM!G30)</f>
        <v>143654</v>
      </c>
      <c r="H30" s="41">
        <f>SUM(MF:ÚZSVM!H30)-1</f>
        <v>149822</v>
      </c>
      <c r="I30" s="41">
        <f>SUM(MF:ÚZSVM!I30)+1</f>
        <v>160020</v>
      </c>
      <c r="J30" s="41">
        <f>SUM(MF:ÚZSVM!J30)+1</f>
        <v>163866</v>
      </c>
      <c r="K30" s="41">
        <f>SUM(MF:ÚZSVM!K30)</f>
        <v>171760</v>
      </c>
      <c r="L30" s="41">
        <f>SUM(MF:ÚZSVM!L30)</f>
        <v>162824</v>
      </c>
      <c r="M30" s="186">
        <f t="shared" si="4"/>
        <v>104.2936500201874</v>
      </c>
      <c r="N30" s="200">
        <f>SUM(MF:KFA!N30)</f>
        <v>75881</v>
      </c>
      <c r="O30" s="68">
        <f t="shared" si="2"/>
        <v>102.4034495688039</v>
      </c>
      <c r="P30" s="68">
        <f t="shared" si="3"/>
        <v>104.81735076220815</v>
      </c>
      <c r="Q30" s="68">
        <f t="shared" si="0"/>
        <v>94.7973917093619</v>
      </c>
      <c r="R30" s="67">
        <f t="shared" si="1"/>
        <v>46.603080626934606</v>
      </c>
    </row>
    <row r="31" spans="1:18" ht="12.75">
      <c r="A31" s="14" t="s">
        <v>16</v>
      </c>
      <c r="B31" s="44">
        <f>SUM(MF:ÚZSVM!B30)</f>
        <v>93430</v>
      </c>
      <c r="C31" s="57">
        <f>SUM(MF:ÚZSVM!C30)</f>
        <v>105064</v>
      </c>
      <c r="D31" s="41">
        <f>SUM(MF:ÚZSVM!D30)</f>
        <v>116596</v>
      </c>
      <c r="E31" s="17">
        <f>SUM(MF:ÚZSVM!E30)</f>
        <v>140816</v>
      </c>
      <c r="F31" s="17">
        <f>SUM(MF:ÚZSVM!F30)</f>
        <v>138633</v>
      </c>
      <c r="G31" s="41">
        <f>SUM(MF:ÚZSVM!G31)</f>
        <v>204235</v>
      </c>
      <c r="H31" s="41">
        <f>SUM(MF:ÚZSVM!H31)</f>
        <v>250995</v>
      </c>
      <c r="I31" s="41">
        <f>SUM(MF:ÚZSVM!I31)</f>
        <v>310574</v>
      </c>
      <c r="J31" s="41">
        <f>SUM(MF:ÚZSVM!J31)</f>
        <v>343323</v>
      </c>
      <c r="K31" s="41">
        <f>SUM(MF:ÚZSVM!K31)</f>
        <v>362286</v>
      </c>
      <c r="L31" s="41">
        <f>SUM(MF:ÚZSVM!L31)</f>
        <v>421599</v>
      </c>
      <c r="M31" s="185">
        <f t="shared" si="4"/>
        <v>122.89519426151247</v>
      </c>
      <c r="N31" s="199">
        <f>SUM(MF:KFA!N31)</f>
        <v>414270</v>
      </c>
      <c r="O31" s="68">
        <f t="shared" si="2"/>
        <v>110.54466890338534</v>
      </c>
      <c r="P31" s="68">
        <f t="shared" si="3"/>
        <v>105.5233701208483</v>
      </c>
      <c r="Q31" s="68">
        <f t="shared" si="0"/>
        <v>116.37187194647322</v>
      </c>
      <c r="R31" s="67">
        <f t="shared" si="1"/>
        <v>98.26161826759551</v>
      </c>
    </row>
    <row r="32" spans="1:18" ht="12.75">
      <c r="A32" s="14" t="s">
        <v>17</v>
      </c>
      <c r="B32" s="44">
        <f>SUM(MF:ÚZSVM!B31)</f>
        <v>16051</v>
      </c>
      <c r="C32" s="57">
        <f>SUM(MF:ÚZSVM!C31)</f>
        <v>19856</v>
      </c>
      <c r="D32" s="40">
        <f>SUM(MF:ÚZSVM!D31)</f>
        <v>36984</v>
      </c>
      <c r="E32" s="15">
        <f>SUM(MF:ÚZSVM!E31)-2</f>
        <v>68891</v>
      </c>
      <c r="F32" s="15">
        <f>SUM(MF:ÚZSVM!F31)</f>
        <v>164927</v>
      </c>
      <c r="G32" s="40">
        <f>SUM(MF:ÚZSVM!G32)+1</f>
        <v>4259507</v>
      </c>
      <c r="H32" s="40">
        <f>SUM(MF:ÚZSVM!H32)+2</f>
        <v>4227333</v>
      </c>
      <c r="I32" s="40">
        <f>SUM(MF:ÚZSVM!I32)-1</f>
        <v>4277641</v>
      </c>
      <c r="J32" s="40">
        <f>SUM(MF:ÚZSVM!J32)-1</f>
        <v>4329861</v>
      </c>
      <c r="K32" s="40">
        <f>SUM(MF:ÚZSVM!K32)</f>
        <v>4322758</v>
      </c>
      <c r="L32" s="40">
        <f>SUM(MF:ÚZSVM!L32)</f>
        <v>3762574</v>
      </c>
      <c r="M32" s="185">
        <f t="shared" si="4"/>
        <v>99.24465436962541</v>
      </c>
      <c r="N32" s="199">
        <f>SUM(MF:KFA!N32)-1</f>
        <v>4049875</v>
      </c>
      <c r="O32" s="67">
        <f t="shared" si="2"/>
        <v>101.22076630554085</v>
      </c>
      <c r="P32" s="67">
        <f t="shared" si="3"/>
        <v>99.83595316339255</v>
      </c>
      <c r="Q32" s="67">
        <f t="shared" si="0"/>
        <v>87.041051106724</v>
      </c>
      <c r="R32" s="67">
        <f t="shared" si="1"/>
        <v>107.63575679840449</v>
      </c>
    </row>
    <row r="33" spans="1:18" ht="12.75">
      <c r="A33" s="8" t="s">
        <v>18</v>
      </c>
      <c r="B33" s="30"/>
      <c r="C33" s="53"/>
      <c r="D33" s="18"/>
      <c r="E33" s="9"/>
      <c r="F33" s="9"/>
      <c r="G33" s="18"/>
      <c r="H33" s="18"/>
      <c r="I33" s="18"/>
      <c r="J33" s="18"/>
      <c r="K33" s="18"/>
      <c r="L33" s="18"/>
      <c r="M33" s="64"/>
      <c r="N33" s="182"/>
      <c r="O33" s="66"/>
      <c r="P33" s="66"/>
      <c r="Q33" s="66"/>
      <c r="R33" s="66"/>
    </row>
    <row r="34" spans="1:18" ht="12.75">
      <c r="A34" s="8" t="s">
        <v>19</v>
      </c>
      <c r="B34" s="30">
        <f>SUM(MF:ÚZSVM!B33)</f>
        <v>0</v>
      </c>
      <c r="C34" s="27">
        <f>SUM(MF:ÚZSVM!C33)</f>
        <v>0</v>
      </c>
      <c r="D34" s="9">
        <f>SUM(MF:ÚZSVM!D33)</f>
        <v>0</v>
      </c>
      <c r="E34" s="9">
        <f>SUM(MF:ÚZSVM!E33)</f>
        <v>0</v>
      </c>
      <c r="F34" s="9">
        <f>SUM(MF:ÚZSVM!F33)</f>
        <v>0</v>
      </c>
      <c r="G34" s="18">
        <f>SUM(MF:ÚZSVM!G34)</f>
        <v>492542</v>
      </c>
      <c r="H34" s="18">
        <f>SUM(MF:ÚZSVM!H34)</f>
        <v>444387</v>
      </c>
      <c r="I34" s="18">
        <f>SUM(MF:ÚZSVM!I34)</f>
        <v>407773</v>
      </c>
      <c r="J34" s="18">
        <f>SUM(MF:ÚZSVM!J34)</f>
        <v>399075</v>
      </c>
      <c r="K34" s="18">
        <f>SUM(MF:ÚZSVM!K34)</f>
        <v>411323</v>
      </c>
      <c r="L34" s="18">
        <f>SUM(MF:ÚZSVM!L34)</f>
        <v>279200</v>
      </c>
      <c r="M34" s="64">
        <f t="shared" si="4"/>
        <v>90.2231687856061</v>
      </c>
      <c r="N34" s="182">
        <f>SUM(MF:KFA!N34)+1</f>
        <v>247104</v>
      </c>
      <c r="O34" s="66">
        <f t="shared" si="2"/>
        <v>97.86695048470595</v>
      </c>
      <c r="P34" s="66">
        <f t="shared" si="3"/>
        <v>103.06909728747729</v>
      </c>
      <c r="Q34" s="66">
        <f t="shared" si="0"/>
        <v>67.87852855298634</v>
      </c>
      <c r="R34" s="66">
        <f t="shared" si="1"/>
        <v>88.50429799426934</v>
      </c>
    </row>
    <row r="35" spans="1:18" ht="12.75">
      <c r="A35" s="8" t="s">
        <v>20</v>
      </c>
      <c r="B35" s="30">
        <f>SUM(MF:ÚZSVM!B34)</f>
        <v>484971</v>
      </c>
      <c r="C35" s="27">
        <f>SUM(MF:ÚZSVM!C34)</f>
        <v>631554</v>
      </c>
      <c r="D35" s="9">
        <f>SUM(MF:ÚZSVM!D34)</f>
        <v>412295</v>
      </c>
      <c r="E35" s="9">
        <f>SUM(MF:ÚZSVM!E34)-1</f>
        <v>542587</v>
      </c>
      <c r="F35" s="9">
        <f>SUM(MF:ÚZSVM!F34)</f>
        <v>428507</v>
      </c>
      <c r="G35" s="18">
        <f>SUM(MF:ÚZSVM!G35)-1</f>
        <v>347833</v>
      </c>
      <c r="H35" s="18">
        <f>SUM(MF:ÚZSVM!H35)</f>
        <v>390239</v>
      </c>
      <c r="I35" s="18">
        <f>SUM(MF:ÚZSVM!I35)</f>
        <v>374792</v>
      </c>
      <c r="J35" s="18">
        <f>SUM(MF:ÚZSVM!J35)+1</f>
        <v>434042</v>
      </c>
      <c r="K35" s="18">
        <f>SUM(MF:ÚZSVM!K35)</f>
        <v>437294</v>
      </c>
      <c r="L35" s="18">
        <f>SUM(MF:ÚZSVM!L35)</f>
        <v>410839</v>
      </c>
      <c r="M35" s="64">
        <f t="shared" si="4"/>
        <v>112.19148269428145</v>
      </c>
      <c r="N35" s="182">
        <f>SUM(MF:KFA!N35)</f>
        <v>398474</v>
      </c>
      <c r="O35" s="66">
        <f t="shared" si="2"/>
        <v>115.80876859698179</v>
      </c>
      <c r="P35" s="66">
        <f t="shared" si="3"/>
        <v>100.74923624902658</v>
      </c>
      <c r="Q35" s="66">
        <f t="shared" si="0"/>
        <v>93.95029431000654</v>
      </c>
      <c r="R35" s="66">
        <f t="shared" si="1"/>
        <v>96.99030520471523</v>
      </c>
    </row>
    <row r="36" spans="1:18" ht="12.75">
      <c r="A36" s="8" t="s">
        <v>21</v>
      </c>
      <c r="B36" s="30">
        <f>SUM(MF:ÚZSVM!B35)</f>
        <v>253512</v>
      </c>
      <c r="C36" s="27">
        <f>SUM(MF:ÚZSVM!C35)</f>
        <v>252210</v>
      </c>
      <c r="D36" s="9">
        <f>SUM(MF:ÚZSVM!D35)</f>
        <v>264679</v>
      </c>
      <c r="E36" s="9">
        <f>SUM(MF:ÚZSVM!E35)-1</f>
        <v>344167</v>
      </c>
      <c r="F36" s="9">
        <f>SUM(MF:ÚZSVM!F35)</f>
        <v>332757</v>
      </c>
      <c r="G36" s="18">
        <f>SUM(MF:ÚZSVM!G36)+1</f>
        <v>1857967</v>
      </c>
      <c r="H36" s="18">
        <f>SUM(MF:ÚZSVM!H36)+1</f>
        <v>2007006</v>
      </c>
      <c r="I36" s="18">
        <f>SUM(MF:ÚZSVM!I36)</f>
        <v>2071278</v>
      </c>
      <c r="J36" s="18">
        <f>SUM(MF:ÚZSVM!J36)-1</f>
        <v>2598516</v>
      </c>
      <c r="K36" s="18">
        <f>SUM(MF:ÚZSVM!K36)</f>
        <v>2589095</v>
      </c>
      <c r="L36" s="18">
        <f>SUM(MF:ÚZSVM!L36)</f>
        <v>2488409</v>
      </c>
      <c r="M36" s="64">
        <f t="shared" si="4"/>
        <v>108.02161717619312</v>
      </c>
      <c r="N36" s="182">
        <f>SUM(MF:KFA!N36)</f>
        <v>2690904</v>
      </c>
      <c r="O36" s="66">
        <f t="shared" si="2"/>
        <v>125.45471926028277</v>
      </c>
      <c r="P36" s="66">
        <f t="shared" si="3"/>
        <v>99.6374469120067</v>
      </c>
      <c r="Q36" s="66">
        <f t="shared" si="0"/>
        <v>96.11115080752155</v>
      </c>
      <c r="R36" s="66">
        <f t="shared" si="1"/>
        <v>108.13752883870778</v>
      </c>
    </row>
    <row r="37" spans="1:18" ht="12.75" hidden="1">
      <c r="A37" s="8" t="s">
        <v>22</v>
      </c>
      <c r="B37" s="30">
        <f>SUM(MF:ÚZSVM!B36)</f>
        <v>2175869</v>
      </c>
      <c r="C37" s="27">
        <f>SUM(MF:ÚZSVM!C36)</f>
        <v>1538970</v>
      </c>
      <c r="D37" s="9">
        <f>SUM(MF:ÚZSVM!D36)</f>
        <v>1716795</v>
      </c>
      <c r="E37" s="9">
        <f>SUM(MF:ÚZSVM!E36)-1</f>
        <v>1787500</v>
      </c>
      <c r="F37" s="9">
        <f>SUM(MF:ÚZSVM!F36)</f>
        <v>1774931</v>
      </c>
      <c r="G37" s="18">
        <f>SUM(MF:ÚZSVM!G37)</f>
        <v>0</v>
      </c>
      <c r="H37" s="18">
        <f>SUM(MF:ÚZSVM!H37)</f>
        <v>0</v>
      </c>
      <c r="I37" s="18">
        <f>SUM(MF:ÚZSVM!I37)</f>
        <v>0</v>
      </c>
      <c r="J37" s="18">
        <f>SUM(MF:ÚZSVM!J37)</f>
        <v>0</v>
      </c>
      <c r="K37" s="18">
        <f>SUM(MF:ÚZSVM!K37)</f>
        <v>0</v>
      </c>
      <c r="L37" s="18">
        <f>SUM(MF:ÚZSVM!L37)</f>
        <v>0</v>
      </c>
      <c r="M37" s="64" t="e">
        <f t="shared" si="4"/>
        <v>#DIV/0!</v>
      </c>
      <c r="N37" s="182">
        <f>SUM(MF:KFA!N37)</f>
        <v>0</v>
      </c>
      <c r="O37" s="66" t="e">
        <f t="shared" si="2"/>
        <v>#DIV/0!</v>
      </c>
      <c r="P37" s="66" t="e">
        <f t="shared" si="3"/>
        <v>#DIV/0!</v>
      </c>
      <c r="Q37" s="66" t="e">
        <f t="shared" si="0"/>
        <v>#DIV/0!</v>
      </c>
      <c r="R37" s="66" t="e">
        <f t="shared" si="1"/>
        <v>#DIV/0!</v>
      </c>
    </row>
    <row r="38" spans="1:18" ht="12.75">
      <c r="A38" s="8" t="s">
        <v>23</v>
      </c>
      <c r="B38" s="30">
        <f>SUM(MF:ÚZSVM!B37)</f>
        <v>359422</v>
      </c>
      <c r="C38" s="27">
        <f>SUM(MF:ÚZSVM!C37)</f>
        <v>231326</v>
      </c>
      <c r="D38" s="9">
        <f>SUM(MF:ÚZSVM!D37)</f>
        <v>224772</v>
      </c>
      <c r="E38" s="9">
        <f>SUM(MF:ÚZSVM!E37)</f>
        <v>224462</v>
      </c>
      <c r="F38" s="9">
        <f>SUM(MF:ÚZSVM!F37)</f>
        <v>224836</v>
      </c>
      <c r="G38" s="18">
        <f>SUM(MF:ÚZSVM!G38)</f>
        <v>791003</v>
      </c>
      <c r="H38" s="18">
        <f>SUM(MF:ÚZSVM!H38)</f>
        <v>788700</v>
      </c>
      <c r="I38" s="18">
        <f>SUM(MF:ÚZSVM!I38)+1</f>
        <v>706554</v>
      </c>
      <c r="J38" s="18">
        <f>SUM(MF:ÚZSVM!J38)+1</f>
        <v>600744</v>
      </c>
      <c r="K38" s="18">
        <f>SUM(MF:ÚZSVM!K38)</f>
        <v>505608</v>
      </c>
      <c r="L38" s="18">
        <f>SUM(MF:ÚZSVM!L38)</f>
        <v>389859</v>
      </c>
      <c r="M38" s="64">
        <f t="shared" si="4"/>
        <v>99.70885066175475</v>
      </c>
      <c r="N38" s="182">
        <f>SUM(MF:KFA!N38)</f>
        <v>402176</v>
      </c>
      <c r="O38" s="66">
        <f t="shared" si="2"/>
        <v>85.02449918902164</v>
      </c>
      <c r="P38" s="66">
        <f t="shared" si="3"/>
        <v>84.1636370900084</v>
      </c>
      <c r="Q38" s="66">
        <f t="shared" si="0"/>
        <v>77.10696824417334</v>
      </c>
      <c r="R38" s="66">
        <f t="shared" si="1"/>
        <v>103.15934735378688</v>
      </c>
    </row>
    <row r="39" spans="1:18" ht="12.75" hidden="1">
      <c r="A39" s="8" t="s">
        <v>24</v>
      </c>
      <c r="B39" s="30">
        <f>SUM(MF:ÚZSVM!B38)</f>
        <v>419919</v>
      </c>
      <c r="C39" s="27">
        <f>SUM(MF:ÚZSVM!C38)</f>
        <v>537322</v>
      </c>
      <c r="D39" s="9">
        <f>SUM(MF:ÚZSVM!D38)</f>
        <v>550764</v>
      </c>
      <c r="E39" s="9">
        <f>SUM(MF:ÚZSVM!E38)+1</f>
        <v>770411</v>
      </c>
      <c r="F39" s="9">
        <f>SUM(MF:ÚZSVM!F38)</f>
        <v>762616</v>
      </c>
      <c r="G39" s="18">
        <f>SUM(MF:ÚZSVM!G39)</f>
        <v>0</v>
      </c>
      <c r="H39" s="18">
        <f>SUM(MF:ÚZSVM!H39)</f>
        <v>0</v>
      </c>
      <c r="I39" s="18">
        <f>SUM(MF:ÚZSVM!I39)</f>
        <v>0</v>
      </c>
      <c r="J39" s="18">
        <f>SUM(MF:ÚZSVM!J39)</f>
        <v>0</v>
      </c>
      <c r="K39" s="18">
        <f>SUM(MF:ÚZSVM!K39)</f>
        <v>0</v>
      </c>
      <c r="L39" s="18">
        <f>SUM(MF:ÚZSVM!L39)</f>
        <v>0</v>
      </c>
      <c r="M39" s="64" t="e">
        <f t="shared" si="4"/>
        <v>#DIV/0!</v>
      </c>
      <c r="N39" s="182">
        <f>SUM(MF:KFA!N39)</f>
        <v>0</v>
      </c>
      <c r="O39" s="66" t="e">
        <f t="shared" si="2"/>
        <v>#DIV/0!</v>
      </c>
      <c r="P39" s="66" t="e">
        <f t="shared" si="3"/>
        <v>#DIV/0!</v>
      </c>
      <c r="Q39" s="66" t="e">
        <f t="shared" si="0"/>
        <v>#DIV/0!</v>
      </c>
      <c r="R39" s="66" t="e">
        <f t="shared" si="1"/>
        <v>#DIV/0!</v>
      </c>
    </row>
    <row r="40" spans="1:18" ht="12.75" hidden="1">
      <c r="A40" s="8" t="s">
        <v>25</v>
      </c>
      <c r="B40" s="30">
        <f>SUM(MF:ÚZSVM!B39)</f>
        <v>284299</v>
      </c>
      <c r="C40" s="27">
        <f>SUM(MF:ÚZSVM!C39)</f>
        <v>371665</v>
      </c>
      <c r="D40" s="9">
        <f>SUM(MF:ÚZSVM!D39)</f>
        <v>395850</v>
      </c>
      <c r="E40" s="9">
        <f>SUM(MF:ÚZSVM!E39)-1</f>
        <v>611581</v>
      </c>
      <c r="F40" s="9">
        <f>SUM(MF:ÚZSVM!F39)</f>
        <v>573267</v>
      </c>
      <c r="G40" s="18">
        <f>SUM(MF:ÚZSVM!G40)</f>
        <v>0</v>
      </c>
      <c r="H40" s="18">
        <f>SUM(MF:ÚZSVM!H40)</f>
        <v>0</v>
      </c>
      <c r="I40" s="18">
        <f>SUM(MF:ÚZSVM!I40)</f>
        <v>0</v>
      </c>
      <c r="J40" s="18">
        <f>SUM(MF:ÚZSVM!J40)</f>
        <v>0</v>
      </c>
      <c r="K40" s="18">
        <f>SUM(MF:ÚZSVM!K40)</f>
        <v>0</v>
      </c>
      <c r="L40" s="18">
        <f>SUM(MF:ÚZSVM!L40)</f>
        <v>0</v>
      </c>
      <c r="M40" s="64" t="e">
        <f t="shared" si="4"/>
        <v>#DIV/0!</v>
      </c>
      <c r="N40" s="182">
        <f>SUM(MF:KFA!N40)</f>
        <v>0</v>
      </c>
      <c r="O40" s="66" t="e">
        <f t="shared" si="2"/>
        <v>#DIV/0!</v>
      </c>
      <c r="P40" s="66" t="e">
        <f t="shared" si="3"/>
        <v>#DIV/0!</v>
      </c>
      <c r="Q40" s="66" t="e">
        <f t="shared" si="0"/>
        <v>#DIV/0!</v>
      </c>
      <c r="R40" s="66" t="e">
        <f t="shared" si="1"/>
        <v>#DIV/0!</v>
      </c>
    </row>
    <row r="41" spans="1:18" ht="12.75" hidden="1">
      <c r="A41" s="8" t="s">
        <v>26</v>
      </c>
      <c r="B41" s="30">
        <f>SUM(MF:ÚZSVM!B40)</f>
        <v>37947</v>
      </c>
      <c r="C41" s="27">
        <f>SUM(MF:ÚZSVM!C40)</f>
        <v>67908</v>
      </c>
      <c r="D41" s="9">
        <f>SUM(MF:ÚZSVM!D40)</f>
        <v>50061</v>
      </c>
      <c r="E41" s="9">
        <f>SUM(MF:ÚZSVM!E40)+1</f>
        <v>55920</v>
      </c>
      <c r="F41" s="9">
        <f>SUM(MF:ÚZSVM!F40)</f>
        <v>59221</v>
      </c>
      <c r="G41" s="18">
        <f>SUM(MF:ÚZSVM!G41)</f>
        <v>0</v>
      </c>
      <c r="H41" s="18">
        <f>SUM(MF:ÚZSVM!H41)</f>
        <v>0</v>
      </c>
      <c r="I41" s="18">
        <f>SUM(MF:ÚZSVM!I41)</f>
        <v>0</v>
      </c>
      <c r="J41" s="18">
        <f>SUM(MF:ÚZSVM!J41)</f>
        <v>0</v>
      </c>
      <c r="K41" s="18">
        <f>SUM(MF:ÚZSVM!K41)</f>
        <v>0</v>
      </c>
      <c r="L41" s="18">
        <f>SUM(MF:ÚZSVM!L41)</f>
        <v>0</v>
      </c>
      <c r="M41" s="64" t="e">
        <f t="shared" si="4"/>
        <v>#DIV/0!</v>
      </c>
      <c r="N41" s="182">
        <f>SUM(MF:KFA!N41)</f>
        <v>0</v>
      </c>
      <c r="O41" s="66" t="e">
        <f t="shared" si="2"/>
        <v>#DIV/0!</v>
      </c>
      <c r="P41" s="66" t="e">
        <f t="shared" si="3"/>
        <v>#DIV/0!</v>
      </c>
      <c r="Q41" s="66" t="e">
        <f t="shared" si="0"/>
        <v>#DIV/0!</v>
      </c>
      <c r="R41" s="66" t="e">
        <f t="shared" si="1"/>
        <v>#DIV/0!</v>
      </c>
    </row>
    <row r="42" spans="1:18" ht="13.5" thickBot="1">
      <c r="A42" s="21" t="s">
        <v>27</v>
      </c>
      <c r="B42" s="46">
        <f>SUM(MF:ÚZSVM!B41)</f>
        <v>64751</v>
      </c>
      <c r="C42" s="59">
        <f>SUM(MF:ÚZSVM!C41)</f>
        <v>68184</v>
      </c>
      <c r="D42" s="22">
        <f>SUM(MF:ÚZSVM!D41)</f>
        <v>76398</v>
      </c>
      <c r="E42" s="22">
        <f>SUM(MF:ÚZSVM!E41)</f>
        <v>80454</v>
      </c>
      <c r="F42" s="22">
        <f>SUM(MF:ÚZSVM!F41)</f>
        <v>87998</v>
      </c>
      <c r="G42" s="26">
        <f>SUM(MF:ÚZSVM!G42)+1</f>
        <v>770162</v>
      </c>
      <c r="H42" s="26">
        <f>SUM(MF:ÚZSVM!H42)+1</f>
        <v>597001</v>
      </c>
      <c r="I42" s="26">
        <f>SUM(MF:ÚZSVM!I42)-2</f>
        <v>717244</v>
      </c>
      <c r="J42" s="26">
        <f>SUM(MF:ÚZSVM!J42)-2</f>
        <v>297484</v>
      </c>
      <c r="K42" s="26">
        <f>SUM(MF:ÚZSVM!K42)</f>
        <v>379438</v>
      </c>
      <c r="L42" s="26">
        <f>SUM(MF:ÚZSVM!L42)</f>
        <v>194267</v>
      </c>
      <c r="M42" s="188">
        <f t="shared" si="4"/>
        <v>77.51628878080196</v>
      </c>
      <c r="N42" s="196">
        <f>SUM(MF:KFA!N42)-2</f>
        <v>311217</v>
      </c>
      <c r="O42" s="69">
        <f t="shared" si="2"/>
        <v>41.475983068523405</v>
      </c>
      <c r="P42" s="69">
        <f t="shared" si="3"/>
        <v>127.54904465450242</v>
      </c>
      <c r="Q42" s="69">
        <f t="shared" si="0"/>
        <v>51.1986147934577</v>
      </c>
      <c r="R42" s="69">
        <f t="shared" si="1"/>
        <v>160.2006516804192</v>
      </c>
    </row>
    <row r="43" spans="1:18" ht="12.75">
      <c r="A43" s="8" t="s">
        <v>28</v>
      </c>
      <c r="B43" s="30">
        <f>SUM(MF:ÚZSVM!B42)</f>
        <v>45100</v>
      </c>
      <c r="C43" s="60">
        <f>SUM(MF:ÚZSVM!C42)</f>
        <v>193077</v>
      </c>
      <c r="D43" s="9">
        <f>SUM(MF:ÚZSVM!D42)</f>
        <v>182864</v>
      </c>
      <c r="E43" s="9">
        <f>SUM(MF:ÚZSVM!E42)</f>
        <v>209054</v>
      </c>
      <c r="F43" s="9">
        <f>SUM(MF:ÚZSVM!F42)</f>
        <v>630517</v>
      </c>
      <c r="G43" s="18">
        <f>SUM(MF:ÚZSVM!G43)</f>
        <v>25959</v>
      </c>
      <c r="H43" s="18">
        <f>SUM(MF:ÚZSVM!H43)</f>
        <v>25719</v>
      </c>
      <c r="I43" s="18">
        <f>SUM(MF:ÚZSVM!I43)</f>
        <v>25513</v>
      </c>
      <c r="J43" s="18">
        <f>SUM(MF:ÚZSVM!J43)</f>
        <v>24942</v>
      </c>
      <c r="K43" s="18">
        <f>SUM(MF:ÚZSVM!K43)</f>
        <v>24882</v>
      </c>
      <c r="L43" s="18">
        <f>SUM(MF:ÚZSVM!L43)</f>
        <v>24186</v>
      </c>
      <c r="M43" s="64">
        <f t="shared" si="4"/>
        <v>99.07546515659308</v>
      </c>
      <c r="N43" s="182">
        <f>SUM(MF:KFA!N43)</f>
        <v>23155</v>
      </c>
      <c r="O43" s="66">
        <f t="shared" si="2"/>
        <v>97.76192529298788</v>
      </c>
      <c r="P43" s="66">
        <f t="shared" si="3"/>
        <v>99.75944190522011</v>
      </c>
      <c r="Q43" s="66">
        <f t="shared" si="0"/>
        <v>97.2027972027972</v>
      </c>
      <c r="R43" s="66">
        <f t="shared" si="1"/>
        <v>95.73720334077565</v>
      </c>
    </row>
    <row r="44" spans="1:18" ht="12.75">
      <c r="A44" s="29" t="s">
        <v>30</v>
      </c>
      <c r="B44" s="28">
        <f aca="true" t="shared" si="5" ref="B44:N44">ROUND(B27/B43/12*1000,0)</f>
        <v>8676</v>
      </c>
      <c r="C44" s="27">
        <f t="shared" si="5"/>
        <v>2274</v>
      </c>
      <c r="D44" s="124">
        <f t="shared" si="5"/>
        <v>2670</v>
      </c>
      <c r="E44" s="124">
        <f t="shared" si="5"/>
        <v>2836</v>
      </c>
      <c r="F44" s="124">
        <f t="shared" si="5"/>
        <v>925</v>
      </c>
      <c r="G44" s="27">
        <f t="shared" si="5"/>
        <v>22858</v>
      </c>
      <c r="H44" s="27">
        <f t="shared" si="5"/>
        <v>24157</v>
      </c>
      <c r="I44" s="27">
        <f t="shared" si="5"/>
        <v>25914</v>
      </c>
      <c r="J44" s="27">
        <f t="shared" si="5"/>
        <v>27245</v>
      </c>
      <c r="K44" s="18">
        <f t="shared" si="5"/>
        <v>28583</v>
      </c>
      <c r="L44" s="18">
        <f t="shared" si="5"/>
        <v>28017</v>
      </c>
      <c r="M44" s="64">
        <f t="shared" si="4"/>
        <v>105.68291189080409</v>
      </c>
      <c r="N44" s="182">
        <f t="shared" si="5"/>
        <v>27273</v>
      </c>
      <c r="O44" s="66">
        <f t="shared" si="2"/>
        <v>105.13621980396697</v>
      </c>
      <c r="P44" s="66">
        <f t="shared" si="3"/>
        <v>104.91099284272343</v>
      </c>
      <c r="Q44" s="66">
        <f t="shared" si="0"/>
        <v>98.01980198019803</v>
      </c>
      <c r="R44" s="66">
        <f t="shared" si="1"/>
        <v>97.34446942927508</v>
      </c>
    </row>
    <row r="45" spans="1:18" ht="12.75" hidden="1">
      <c r="A45" s="29" t="s">
        <v>31</v>
      </c>
      <c r="B45" s="24" t="e">
        <f>SUM(MF:ÚZSVM!B44)</f>
        <v>#DIV/0!</v>
      </c>
      <c r="C45" s="27" t="e">
        <f>SUM(MF:ÚZSVM!C44)</f>
        <v>#DIV/0!</v>
      </c>
      <c r="D45" s="11">
        <f>SUM(MF:ÚZSVM!D44)</f>
        <v>86374</v>
      </c>
      <c r="E45" s="11">
        <f>SUM(MF:ÚZSVM!E44)</f>
        <v>89875</v>
      </c>
      <c r="F45" s="11">
        <f>SUM(MF:ÚZSVM!F44)</f>
        <v>93859</v>
      </c>
      <c r="G45" s="37">
        <f>SUM(MF:ÚZSVM!L44)</f>
        <v>125237</v>
      </c>
      <c r="H45" s="37"/>
      <c r="I45" s="37"/>
      <c r="J45" s="37"/>
      <c r="K45" s="37">
        <f>SUM(MF:ÚZSVM!K44)</f>
        <v>127298</v>
      </c>
      <c r="L45" s="37">
        <f>SUM(MF:ÚZSVM!L44)</f>
        <v>125237</v>
      </c>
      <c r="M45" s="189">
        <f t="shared" si="4"/>
        <v>0</v>
      </c>
      <c r="N45" s="184"/>
      <c r="O45" s="70" t="e">
        <f t="shared" si="2"/>
        <v>#DIV/0!</v>
      </c>
      <c r="P45" s="70" t="e">
        <f t="shared" si="3"/>
        <v>#DIV/0!</v>
      </c>
      <c r="Q45" s="70">
        <f t="shared" si="0"/>
        <v>98.38096435136453</v>
      </c>
      <c r="R45" s="66">
        <f t="shared" si="1"/>
        <v>0</v>
      </c>
    </row>
    <row r="46" spans="1:18" ht="13.5" thickBot="1">
      <c r="A46" s="5" t="s">
        <v>29</v>
      </c>
      <c r="B46" s="47">
        <f aca="true" t="shared" si="6" ref="B46:K46">ROUND(B32/B43*1000,0)</f>
        <v>356</v>
      </c>
      <c r="C46" s="26">
        <f t="shared" si="6"/>
        <v>103</v>
      </c>
      <c r="D46" s="10">
        <f t="shared" si="6"/>
        <v>202</v>
      </c>
      <c r="E46" s="10">
        <f t="shared" si="6"/>
        <v>330</v>
      </c>
      <c r="F46" s="10">
        <f t="shared" si="6"/>
        <v>262</v>
      </c>
      <c r="G46" s="79">
        <f t="shared" si="6"/>
        <v>164086</v>
      </c>
      <c r="H46" s="79">
        <f>H32/H43*1000</f>
        <v>164366.1495392511</v>
      </c>
      <c r="I46" s="79">
        <f>I32/I43*1000</f>
        <v>167665.1510994395</v>
      </c>
      <c r="J46" s="79">
        <f t="shared" si="6"/>
        <v>173597</v>
      </c>
      <c r="K46" s="79">
        <f t="shared" si="6"/>
        <v>173730</v>
      </c>
      <c r="L46" s="79">
        <f>ROUND(L32/L43*1000,0)</f>
        <v>155568</v>
      </c>
      <c r="M46" s="190">
        <f t="shared" si="4"/>
        <v>100.17073335887956</v>
      </c>
      <c r="N46" s="201">
        <f>ROUND(N32/N43*1000,0)</f>
        <v>174903</v>
      </c>
      <c r="O46" s="71">
        <f t="shared" si="2"/>
        <v>103.53791402784853</v>
      </c>
      <c r="P46" s="71">
        <f t="shared" si="3"/>
        <v>100.0766142272044</v>
      </c>
      <c r="Q46" s="71">
        <f t="shared" si="0"/>
        <v>89.54584700397167</v>
      </c>
      <c r="R46" s="69">
        <f t="shared" si="1"/>
        <v>112.42864856525763</v>
      </c>
    </row>
    <row r="47" ht="12.75">
      <c r="A47" s="2" t="s">
        <v>58</v>
      </c>
    </row>
  </sheetData>
  <printOptions/>
  <pageMargins left="0.5905511811023623" right="0.7874015748031497" top="0.984251968503937" bottom="0.1968503937007874" header="0.9055118110236221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6" sqref="I26"/>
    </sheetView>
  </sheetViews>
  <sheetFormatPr defaultColWidth="9.1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1997-07-15T08:14:08Z</dcterms:created>
  <cp:category/>
  <cp:version/>
  <cp:contentType/>
  <cp:contentStatus/>
</cp:coreProperties>
</file>