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firstSheet="10" activeTab="10"/>
  </bookViews>
  <sheets>
    <sheet name="1. Vybrané ukazatele" sheetId="1" r:id="rId1"/>
    <sheet name="2. Programy" sheetId="2" r:id="rId2"/>
    <sheet name="3. Progfin" sheetId="3" r:id="rId3"/>
    <sheet name="4. Progfin - jen MRZ a NNV" sheetId="4" r:id="rId4"/>
    <sheet name="5. Zaměstnanost" sheetId="5" r:id="rId5"/>
    <sheet name="6. Čerpání NNV" sheetId="6" r:id="rId6"/>
    <sheet name="7. Převody MRZ" sheetId="7" r:id="rId7"/>
    <sheet name="8. Nákladovost" sheetId="8" r:id="rId8"/>
    <sheet name="9. Daňové a nedaňové příjmy" sheetId="9" r:id="rId9"/>
    <sheet name="10.Přeplatky, nedoplatky" sheetId="10" r:id="rId10"/>
    <sheet name="15. Výdaje v ISPROFIN" sheetId="11" r:id="rId11"/>
  </sheets>
  <externalReferences>
    <externalReference r:id="rId14"/>
    <externalReference r:id="rId15"/>
  </externalReferences>
  <definedNames/>
  <calcPr fullCalcOnLoad="1"/>
</workbook>
</file>

<file path=xl/comments4.xml><?xml version="1.0" encoding="utf-8"?>
<comments xmlns="http://schemas.openxmlformats.org/spreadsheetml/2006/main">
  <authors>
    <author>Kejlov? Eva, Ing.</author>
  </authors>
  <commentList>
    <comment ref="I43" authorId="0">
      <text>
        <r>
          <rPr>
            <b/>
            <sz val="8"/>
            <rFont val="Tahoma"/>
            <family val="0"/>
          </rPr>
          <t>Kejlová Eva, Ing.:</t>
        </r>
        <r>
          <rPr>
            <sz val="8"/>
            <rFont val="Tahoma"/>
            <family val="0"/>
          </rPr>
          <t xml:space="preserve">
48 tis. Kč - FKSP - akce č. 112 123 9001
</t>
        </r>
      </text>
    </comment>
    <comment ref="I45" authorId="0">
      <text>
        <r>
          <rPr>
            <b/>
            <sz val="8"/>
            <rFont val="Tahoma"/>
            <family val="0"/>
          </rPr>
          <t>Kejlová Eva, Ing.:</t>
        </r>
        <r>
          <rPr>
            <sz val="8"/>
            <rFont val="Tahoma"/>
            <family val="0"/>
          </rPr>
          <t xml:space="preserve">
NNV - 5 894 tis. Kč
POJ - 155 tis. Kč (112 125 0001)
</t>
        </r>
      </text>
    </comment>
  </commentList>
</comments>
</file>

<file path=xl/sharedStrings.xml><?xml version="1.0" encoding="utf-8"?>
<sst xmlns="http://schemas.openxmlformats.org/spreadsheetml/2006/main" count="1212" uniqueCount="407">
  <si>
    <t>Ukazatel</t>
  </si>
  <si>
    <t>skutečnost</t>
  </si>
  <si>
    <t>%plnění</t>
  </si>
  <si>
    <t>skut.</t>
  </si>
  <si>
    <t>schválený</t>
  </si>
  <si>
    <t>uprav.r.</t>
  </si>
  <si>
    <t>v %</t>
  </si>
  <si>
    <t>sloupec</t>
  </si>
  <si>
    <t>Příjmy celkem</t>
  </si>
  <si>
    <t>v tom:</t>
  </si>
  <si>
    <t xml:space="preserve"> - pojistné na sociální  zabezpečení</t>
  </si>
  <si>
    <t xml:space="preserve">   z toho: pojistné na důchod. pojištění</t>
  </si>
  <si>
    <t xml:space="preserve"> - příjmy z vlastní činnosti </t>
  </si>
  <si>
    <t xml:space="preserve"> - příjmy z pronájmu majetku</t>
  </si>
  <si>
    <t xml:space="preserve"> - příjmy z úroků</t>
  </si>
  <si>
    <t xml:space="preserve"> - přijaté sankční platby a vratky transf.</t>
  </si>
  <si>
    <t xml:space="preserve"> - příjmy z prodeje neinv. majetku</t>
  </si>
  <si>
    <t xml:space="preserve"> - ostatní nedaňové příjmy</t>
  </si>
  <si>
    <t xml:space="preserve"> - příjmy z prodeje invest. majetku</t>
  </si>
  <si>
    <t xml:space="preserve"> - ostatní investiční příjmy</t>
  </si>
  <si>
    <t xml:space="preserve"> - převod z vlastních fondů</t>
  </si>
  <si>
    <t>Výdaje celkem</t>
  </si>
  <si>
    <t xml:space="preserve">v tom:  </t>
  </si>
  <si>
    <t xml:space="preserve"> - kapitálové (investiční)</t>
  </si>
  <si>
    <t xml:space="preserve">    v tom:</t>
  </si>
  <si>
    <t xml:space="preserve">    - pořízení nehm. inv. majetku</t>
  </si>
  <si>
    <t xml:space="preserve">    - pořízení hmot. inv. majetku</t>
  </si>
  <si>
    <t xml:space="preserve">    - ostatní pol.</t>
  </si>
  <si>
    <t xml:space="preserve"> - běžné (neinvestiční)</t>
  </si>
  <si>
    <t xml:space="preserve">   - platy zam. a ost. platby</t>
  </si>
  <si>
    <t xml:space="preserve">        v tom: platy zaměstnanců</t>
  </si>
  <si>
    <t xml:space="preserve">   -  povinné pojistné</t>
  </si>
  <si>
    <t xml:space="preserve">   -  příděl do FKSP</t>
  </si>
  <si>
    <t xml:space="preserve">   -  ostatní běžné  výdaje</t>
  </si>
  <si>
    <t xml:space="preserve">         v tom:</t>
  </si>
  <si>
    <t xml:space="preserve">        - nákup materiálu </t>
  </si>
  <si>
    <t xml:space="preserve">        - nákup vody, paliv, energie</t>
  </si>
  <si>
    <t xml:space="preserve">        - nákup služeb</t>
  </si>
  <si>
    <t xml:space="preserve">          z toho: nájemné</t>
  </si>
  <si>
    <t xml:space="preserve">        - ostatní nákupy</t>
  </si>
  <si>
    <t xml:space="preserve">          z toho: opravy a udržování</t>
  </si>
  <si>
    <t xml:space="preserve">                    program. vyb. do 60 tis.Kč</t>
  </si>
  <si>
    <t xml:space="preserve">                    cestovné</t>
  </si>
  <si>
    <t xml:space="preserve">       - ostatní pol.                                   </t>
  </si>
  <si>
    <t>prům. přep. počet zaměst.</t>
  </si>
  <si>
    <t>průměrný měsíční plat v Kč</t>
  </si>
  <si>
    <t>ostatní běžné výdaje  na 1 zam. v Kč</t>
  </si>
  <si>
    <t>Územní finanční orgány</t>
  </si>
  <si>
    <t xml:space="preserve">                 ostatní platby celkem</t>
  </si>
  <si>
    <t xml:space="preserve">   - sociální dávky</t>
  </si>
  <si>
    <t xml:space="preserve"> - odvody přebytků org. s přímým vztahem</t>
  </si>
  <si>
    <t xml:space="preserve"> - splátky půjčených prostředků</t>
  </si>
  <si>
    <t xml:space="preserve">  - příjmy z akcií a majetkových podílů</t>
  </si>
  <si>
    <t xml:space="preserve"> - neinvestiční přijaté transfery ze zahraničí</t>
  </si>
  <si>
    <t>2009/2008</t>
  </si>
  <si>
    <t xml:space="preserve"> - správní poplatky</t>
  </si>
  <si>
    <t xml:space="preserve"> - investiční přijaté transfery</t>
  </si>
  <si>
    <t xml:space="preserve"> - poplatek za využív. přírod. minerál. vody</t>
  </si>
  <si>
    <t xml:space="preserve">rozpočet  k  31. 12. </t>
  </si>
  <si>
    <t>konečný</t>
  </si>
  <si>
    <t>upravený</t>
  </si>
  <si>
    <t xml:space="preserve"> 5 : 1</t>
  </si>
  <si>
    <t xml:space="preserve"> 5 : 3</t>
  </si>
  <si>
    <t>Plnění vybraných ukazatelů státního rozpočtu k  31. 12. 2009 dle finančních výkazů Fin RO 2- 04 U (v tis. Kč)</t>
  </si>
  <si>
    <t>k  31. 12.</t>
  </si>
  <si>
    <t>Kapitola: 312 Ministerstvo financí</t>
  </si>
  <si>
    <t>Tabulka  č. 3</t>
  </si>
  <si>
    <t xml:space="preserve">Rozbor zaměstnanosti a čerpání mzdových prostředků </t>
  </si>
  <si>
    <t>Schválený rozpočet na rok 2009</t>
  </si>
  <si>
    <t>Rozpočet 2009 po změnách podle § 23 odstavec 1 písm. a)</t>
  </si>
  <si>
    <t>Změny rozpočtu 2009 podle § 23 odstavec 1 písm. b)</t>
  </si>
  <si>
    <t>Změny rozpočtu 2009 podle § 23 odstavec 1 písm. c)</t>
  </si>
  <si>
    <r>
      <t>Skutečnost za rok 2009</t>
    </r>
    <r>
      <rPr>
        <b/>
        <vertAlign val="superscript"/>
        <sz val="10"/>
        <rFont val="Arial CE"/>
        <family val="0"/>
      </rPr>
      <t xml:space="preserve"> </t>
    </r>
  </si>
  <si>
    <t>Čerpání nároku na použití úspor z minulých let podle § 47 rozpočtových pravidel</t>
  </si>
  <si>
    <t>Čerpání v dalších případech překročení povoleného MF</t>
  </si>
  <si>
    <t>Čerpání prostředků na</t>
  </si>
  <si>
    <t>Čerpání mimorozpočtových zdrojů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</si>
  <si>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</si>
  <si>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</si>
  <si>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</si>
  <si>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</si>
  <si>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</si>
  <si>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</si>
  <si>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</si>
  <si>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</si>
  <si>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</si>
  <si>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</si>
  <si>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</si>
  <si>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</si>
  <si>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</si>
  <si>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</si>
  <si>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</si>
  <si>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</si>
  <si>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</si>
  <si>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</si>
  <si>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</si>
  <si>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</si>
  <si>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</si>
  <si>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</si>
  <si>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</si>
  <si>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</si>
  <si>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</si>
  <si>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výzkumu</t>
  </si>
  <si>
    <t>k 31.12.</t>
  </si>
  <si>
    <t>práci v tis. Kč</t>
  </si>
  <si>
    <t>v tis.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</si>
  <si>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</si>
  <si>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</si>
  <si>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</si>
  <si>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</si>
  <si>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</si>
  <si>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</si>
  <si>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</si>
  <si>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</si>
  <si>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</si>
  <si>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</si>
  <si>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</si>
  <si>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Územní finanční orgány</t>
  </si>
  <si>
    <t xml:space="preserve">       jednotlivé OSS - státní správa</t>
  </si>
  <si>
    <t xml:space="preserve">      OSS - státní správa celkem</t>
  </si>
  <si>
    <t xml:space="preserve">       Generální ředitelství cel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</si>
  <si>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</si>
  <si>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</si>
  <si>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</si>
  <si>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</si>
  <si>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</si>
  <si>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 xml:space="preserve">       - prostředky na vědu a výzkum</t>
  </si>
  <si>
    <t>Ústředně řízené</t>
  </si>
  <si>
    <t xml:space="preserve"> OSS a PO  c e l k e m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</si>
  <si>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</si>
  <si>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</t>
  </si>
  <si>
    <t>Plnění  závazných ukazatelů státního rozpočtu za rok 20xx.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</si>
  <si>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</si>
  <si>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</si>
  <si>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6 až 8 se uvedou údaje schváleného rozpočtu upravené o rozpočtová opatření provedená podle § 23 odstavec 1 písm. a) zák. č. 218/2000 Sb., rozpočtová pravidla ( tím se rozumí </t>
  </si>
  <si>
    <t xml:space="preserve">přesun prostředků státního rozpočtu v rámci závazných ukazatelů a mezi závaznými ukazateli stanovenými zákonem o státním rozpočtu nebo v rámci závazných ukazatelů a mezi závaznými </t>
  </si>
  <si>
    <t xml:space="preserve">ukazateli stanovenými správcem kapitoly; závazné ukazatele stanovené správcem kapitoly jsou jím stanovené příjmy a výdaje podrobněji členěné v rámci závazných ukazatelů stanovených </t>
  </si>
  <si>
    <t>zákonem o státním rozpočtu").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</si>
  <si>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</si>
  <si>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</si>
  <si>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</si>
  <si>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</si>
  <si>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</si>
  <si>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</si>
  <si>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Ve sloupci 28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</si>
  <si>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</si>
  <si>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</si>
  <si>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</si>
  <si>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</si>
  <si>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 xml:space="preserve">Kapitola 333 MŠMT uvádí v části II. Příspěvkové organizace údaje v členění podle skupin organizací v rozsahu rozpisu závazných limitů mzdových nákladů a počtu zaměstnanců na rok 20xx </t>
  </si>
  <si>
    <t xml:space="preserve">(příloha k rozpisu závazných ukazatelů státního rozpočtu na rok 20xx) . </t>
  </si>
  <si>
    <t>Vypracoval:</t>
  </si>
  <si>
    <t>Kontroloval:</t>
  </si>
  <si>
    <t>Datum:</t>
  </si>
  <si>
    <t>(příjmení, telefon, podpis)</t>
  </si>
  <si>
    <r>
      <t>základní ukazatele</t>
    </r>
    <r>
      <rPr>
        <sz val="10"/>
        <rFont val="Arial CE"/>
        <family val="2"/>
      </rPr>
      <t>:</t>
    </r>
  </si>
  <si>
    <t>Daňové příjmy (kapitola VPS)</t>
  </si>
  <si>
    <t>Příjmy v kapitole 312 - MF</t>
  </si>
  <si>
    <t>Výdaje (bez tvorby RF)</t>
  </si>
  <si>
    <t>počet zaměstnanců</t>
  </si>
  <si>
    <t>efektivnost a nákladovost</t>
  </si>
  <si>
    <t>efektivnost  *)</t>
  </si>
  <si>
    <t>Příjmy na 1 Kč výdajů</t>
  </si>
  <si>
    <t>Příjmy na 1 zaměstnance v Kč</t>
  </si>
  <si>
    <t>nákladovost *)</t>
  </si>
  <si>
    <t>Výdaje na 100 Kč příjmů</t>
  </si>
  <si>
    <t>Výdaje na 1 zaměstnance v Kč</t>
  </si>
  <si>
    <t>Běžné výdaje na 1 zaměstnance v Kč</t>
  </si>
  <si>
    <t>Poznámka: *) ve vztahu k výdajům  bez tvorby rezervního fondu</t>
  </si>
  <si>
    <t>Kapitola 312 - MF - Přehled výdajů programů a podprogramů ICT k 31.12.2009</t>
  </si>
  <si>
    <t>Evid.</t>
  </si>
  <si>
    <t>Organizace</t>
  </si>
  <si>
    <t>Běžné výdaje</t>
  </si>
  <si>
    <t>Kapitálové výdaje</t>
  </si>
  <si>
    <t>Celkem</t>
  </si>
  <si>
    <t>číslo</t>
  </si>
  <si>
    <t>Kapitoly</t>
  </si>
  <si>
    <t>SR</t>
  </si>
  <si>
    <t>UR</t>
  </si>
  <si>
    <t>Skut.</t>
  </si>
  <si>
    <t>Skut/UR</t>
  </si>
  <si>
    <t>ISPROFIN</t>
  </si>
  <si>
    <t>312 MF</t>
  </si>
  <si>
    <t>%</t>
  </si>
  <si>
    <t>MF</t>
  </si>
  <si>
    <t>MF-ÚFO</t>
  </si>
  <si>
    <t>ÚFO</t>
  </si>
  <si>
    <t>GŘC</t>
  </si>
  <si>
    <t>ÚZSVM</t>
  </si>
  <si>
    <t>Kap. 312-MF-celkem</t>
  </si>
  <si>
    <t>Kapitola 312 - MF - Přehled výdajů programů a podprogramů MTZ k 31.12.2009</t>
  </si>
  <si>
    <t>112012 0</t>
  </si>
  <si>
    <t>112012 1</t>
  </si>
  <si>
    <t>112012 3</t>
  </si>
  <si>
    <t>112012 4</t>
  </si>
  <si>
    <t>112012 5</t>
  </si>
  <si>
    <t>112012 6</t>
  </si>
  <si>
    <r>
      <t>ÚFO-</t>
    </r>
    <r>
      <rPr>
        <i/>
        <sz val="8"/>
        <rFont val="Arial CE"/>
        <family val="0"/>
      </rPr>
      <t>R.rezerva</t>
    </r>
  </si>
  <si>
    <t>MTZ celkem (012, 120)</t>
  </si>
  <si>
    <t xml:space="preserve">MF celkem </t>
  </si>
  <si>
    <t>112122</t>
  </si>
  <si>
    <t>pro hl.m. Prahu</t>
  </si>
  <si>
    <t>112123</t>
  </si>
  <si>
    <t>v Praze</t>
  </si>
  <si>
    <t>112124</t>
  </si>
  <si>
    <t>v Č. Budějovic.</t>
  </si>
  <si>
    <t>112125</t>
  </si>
  <si>
    <t>v Plzni</t>
  </si>
  <si>
    <t>112126</t>
  </si>
  <si>
    <t>v Ústí n Labem</t>
  </si>
  <si>
    <t>112127</t>
  </si>
  <si>
    <t>v Hr. Králové</t>
  </si>
  <si>
    <t>112128</t>
  </si>
  <si>
    <t>v Brně</t>
  </si>
  <si>
    <t>112129</t>
  </si>
  <si>
    <t>v Ostravě</t>
  </si>
  <si>
    <t>112120</t>
  </si>
  <si>
    <t>MTZ-Celkem</t>
  </si>
  <si>
    <t>21211A</t>
  </si>
  <si>
    <t>21211B</t>
  </si>
  <si>
    <t>21211C</t>
  </si>
  <si>
    <t>21211D</t>
  </si>
  <si>
    <t>21211E</t>
  </si>
  <si>
    <t>21211F</t>
  </si>
  <si>
    <t>21211G</t>
  </si>
  <si>
    <t>21211H</t>
  </si>
  <si>
    <t>212110</t>
  </si>
  <si>
    <t>ÚFO MTZ</t>
  </si>
  <si>
    <t>ÚFO ICT</t>
  </si>
  <si>
    <t>ÚFO celkem bez MF</t>
  </si>
  <si>
    <t>ÚFO CELKEM (vč. MF)</t>
  </si>
  <si>
    <t>MTZ celkem</t>
  </si>
  <si>
    <t>112210 Celkem</t>
  </si>
  <si>
    <t>GŘC CELKEM</t>
  </si>
  <si>
    <t>112310 Celkem-ÚZSVM</t>
  </si>
  <si>
    <t>ÚZSVM Celkem</t>
  </si>
  <si>
    <t>K A P I T O L A</t>
  </si>
  <si>
    <t>ICT</t>
  </si>
  <si>
    <t>MTZ</t>
  </si>
  <si>
    <t>CELKEM</t>
  </si>
  <si>
    <t>KV</t>
  </si>
  <si>
    <t>BV</t>
  </si>
  <si>
    <t>celkem</t>
  </si>
  <si>
    <r>
      <t xml:space="preserve">Převody mimorozpočtových prostředků na příjmové účty k 31. 12. 2009 </t>
    </r>
    <r>
      <rPr>
        <sz val="14"/>
        <rFont val="Arial CE"/>
        <family val="2"/>
      </rPr>
      <t>(Rezervní fond, FKSP, přijaté náhrady od pojišťoven)</t>
    </r>
  </si>
  <si>
    <t>Programy</t>
  </si>
  <si>
    <t>Neprogram.</t>
  </si>
  <si>
    <t>Rezervní fond</t>
  </si>
  <si>
    <t>FKSP</t>
  </si>
  <si>
    <t>ostatní</t>
  </si>
  <si>
    <t>RF, BV</t>
  </si>
  <si>
    <t>……... - HERCULE II (GŘC)</t>
  </si>
  <si>
    <t>ostatní zdroje z EU např. CUSTOMS, JTI</t>
  </si>
  <si>
    <t>………….</t>
  </si>
  <si>
    <t xml:space="preserve">  = 9 271 CUST. + 224 E-MARKS + 810 JTI</t>
  </si>
  <si>
    <t>skutečné čerpání MRZ na programy</t>
  </si>
  <si>
    <t>skutečné čerpání MRZ mimo programy</t>
  </si>
  <si>
    <t xml:space="preserve"> k 31. 12.  2009</t>
  </si>
  <si>
    <t>dle údajů OSS</t>
  </si>
  <si>
    <t>Přehled o skutečném čerpání nároků ve výdajích OSS k 31. 12. 2009</t>
  </si>
  <si>
    <t xml:space="preserve">Období : </t>
  </si>
  <si>
    <t>1. 1. - 31. 12. 2009</t>
  </si>
  <si>
    <t>Kapitola :</t>
  </si>
  <si>
    <t>312 - MF</t>
  </si>
  <si>
    <t>OSS :</t>
  </si>
  <si>
    <t>SUMÁŘ</t>
  </si>
  <si>
    <t>Název nástroje, programu nebo účelu</t>
  </si>
  <si>
    <t xml:space="preserve">zapojení nároků z r. 2008 
do výdajů v roce 2009 </t>
  </si>
  <si>
    <t xml:space="preserve">celkem </t>
  </si>
  <si>
    <t>skutečné čerpání nároků z r. 2008
ve výdajích v roce 2009</t>
  </si>
  <si>
    <t>kap. 312 - MF</t>
  </si>
  <si>
    <t>text</t>
  </si>
  <si>
    <t>5 = 1+2+3+4</t>
  </si>
  <si>
    <t>10 = 6+7+8+9</t>
  </si>
  <si>
    <t>OP Technická pomoc EU (programovací období 2007 - 2013)</t>
  </si>
  <si>
    <t>v tom: ze SR</t>
  </si>
  <si>
    <t xml:space="preserve">            z EU</t>
  </si>
  <si>
    <t>FM EHP/Norsko</t>
  </si>
  <si>
    <t>Programy ISPROFIN celekm</t>
  </si>
  <si>
    <r>
      <t>112 010</t>
    </r>
    <r>
      <rPr>
        <sz val="8"/>
        <rFont val="Arial CE"/>
        <family val="2"/>
      </rPr>
      <t xml:space="preserve"> -Rozvoj a obnova MTZ systému řízení MF od r. 2007</t>
    </r>
  </si>
  <si>
    <r>
      <t>112 090</t>
    </r>
    <r>
      <rPr>
        <sz val="8"/>
        <rFont val="Arial CE"/>
        <family val="2"/>
      </rPr>
      <t xml:space="preserve"> - Výstavba, obnova a provozování SP v letech 2007 - 2013</t>
    </r>
  </si>
  <si>
    <r>
      <t>112 110</t>
    </r>
    <r>
      <rPr>
        <sz val="8"/>
        <rFont val="Arial CE"/>
        <family val="2"/>
      </rPr>
      <t xml:space="preserve"> - Pořízení, obnova a provozování ICT ÚFO</t>
    </r>
  </si>
  <si>
    <r>
      <t>112 120</t>
    </r>
    <r>
      <rPr>
        <sz val="8"/>
        <rFont val="Arial CE"/>
        <family val="2"/>
      </rPr>
      <t xml:space="preserve"> - Financování MTZ ÚFO</t>
    </r>
  </si>
  <si>
    <r>
      <t>112 210</t>
    </r>
    <r>
      <rPr>
        <sz val="8"/>
        <rFont val="Arial CE"/>
        <family val="2"/>
      </rPr>
      <t xml:space="preserve"> - Rozvoj a obnova MTZ celní správy</t>
    </r>
  </si>
  <si>
    <r>
      <t>112 310</t>
    </r>
    <r>
      <rPr>
        <sz val="8"/>
        <rFont val="Arial CE"/>
        <family val="2"/>
      </rPr>
      <t xml:space="preserve"> - Rozvoj a obnova MTZ Úřadu pro zastupování státu ve věcech majetkových</t>
    </r>
  </si>
  <si>
    <r>
      <t>212 010</t>
    </r>
    <r>
      <rPr>
        <sz val="8"/>
        <rFont val="Arial CE"/>
        <family val="2"/>
      </rPr>
      <t xml:space="preserve"> - Rozvoj a obnova MTZ systému řízení MF</t>
    </r>
  </si>
  <si>
    <r>
      <t>212 110</t>
    </r>
    <r>
      <rPr>
        <sz val="8"/>
        <rFont val="Arial CE"/>
        <family val="2"/>
      </rPr>
      <t xml:space="preserve"> - Rozvoj a obnova MTZ ÚFO</t>
    </r>
  </si>
  <si>
    <r>
      <t>212 210</t>
    </r>
    <r>
      <rPr>
        <sz val="8"/>
        <rFont val="Arial CE"/>
        <family val="2"/>
      </rPr>
      <t xml:space="preserve"> - Rozvoj a obnova MTZ celní správy</t>
    </r>
  </si>
  <si>
    <r>
      <t>212 310</t>
    </r>
    <r>
      <rPr>
        <sz val="8"/>
        <rFont val="Arial CE"/>
        <family val="2"/>
      </rPr>
      <t xml:space="preserve"> - Rozvoj a obnova MTZ Úřadu pro zastupování státu ve věcech majetkových</t>
    </r>
  </si>
  <si>
    <r>
      <t>212 910</t>
    </r>
    <r>
      <rPr>
        <sz val="8"/>
        <rFont val="Arial CE"/>
        <family val="2"/>
      </rPr>
      <t xml:space="preserve"> - Výstavba, obnova a provozování centrálně řízených ICT resortu MF</t>
    </r>
  </si>
  <si>
    <t>Součet programy</t>
  </si>
  <si>
    <t>účelově určené prostředky (převod z VPS) celkem</t>
  </si>
  <si>
    <t>Výdaje spojené se zrušením ČKA (08312001)</t>
  </si>
  <si>
    <t>Mezinárodní spory (08312002)</t>
  </si>
  <si>
    <t>Výstavba budovy FŘ Valašské klobouky (112 128 7001)</t>
  </si>
  <si>
    <t>Výstavba budovy FŘ Veselí nad Moravou (112 128 7002)</t>
  </si>
  <si>
    <t>ZRS - Zahraniční rozvojová spolupráce (08312005)</t>
  </si>
  <si>
    <t>Škody způsobené při výkonu veřejné moci (08312006)</t>
  </si>
  <si>
    <t xml:space="preserve">ostatní prostředky </t>
  </si>
  <si>
    <t>kap. 312- MF CELKEM</t>
  </si>
  <si>
    <r>
      <t>Kapitola 312 - MF - Přehled výdajů programů a podprogramů ICT k 31.12.2009</t>
    </r>
    <r>
      <rPr>
        <b/>
        <sz val="12"/>
        <color indexed="10"/>
        <rFont val="Arial CE"/>
        <family val="0"/>
      </rPr>
      <t xml:space="preserve"> - jen MRZ a NNV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</si>
  <si>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územních finančních orgánů</t>
    </r>
  </si>
  <si>
    <t>z toho: běžné výdaje</t>
  </si>
  <si>
    <t>přijaté náhrady od pojišťoven (MF       tis. Kč, ÚFO 338 tis. Kč)</t>
  </si>
  <si>
    <t>Přehled o schváleném, upraveném  a skutečném čerpání rozpočtu na programy k   31. 12. 2009</t>
  </si>
  <si>
    <t xml:space="preserve">UR </t>
  </si>
  <si>
    <t xml:space="preserve"> k 31.12.</t>
  </si>
  <si>
    <t>čerp. UR</t>
  </si>
  <si>
    <t xml:space="preserve"> - UR</t>
  </si>
  <si>
    <t>MRZ BV</t>
  </si>
  <si>
    <t>NNV BV</t>
  </si>
  <si>
    <t>MRZ KV</t>
  </si>
  <si>
    <t>NNV KV</t>
  </si>
  <si>
    <t>MF+ÚFO</t>
  </si>
  <si>
    <t>rez. BV</t>
  </si>
  <si>
    <t xml:space="preserve">NNV KV </t>
  </si>
  <si>
    <t>rez. KV</t>
  </si>
  <si>
    <t>KVS</t>
  </si>
  <si>
    <t>BVS</t>
  </si>
  <si>
    <t>KVI</t>
  </si>
  <si>
    <t>rez. KVS</t>
  </si>
  <si>
    <t>rez. BVS</t>
  </si>
  <si>
    <t>KAPITOLA</t>
  </si>
  <si>
    <t>z toho:</t>
  </si>
  <si>
    <t>Přehled o schváleném, upraveném a skutečném čerpání rozpočtu na programy k 31. 12. 2009</t>
  </si>
  <si>
    <t>rez.KV</t>
  </si>
  <si>
    <t>Kapitola</t>
  </si>
  <si>
    <t xml:space="preserve">Vysvětlivky:   </t>
  </si>
  <si>
    <t xml:space="preserve"> - běžné výdaje</t>
  </si>
  <si>
    <t xml:space="preserve">      KV</t>
  </si>
  <si>
    <t xml:space="preserve"> - kapitálové výdaje</t>
  </si>
  <si>
    <t>MRZ</t>
  </si>
  <si>
    <t xml:space="preserve"> - mimorozpočtový zdroj  (běžné i kapitálové)</t>
  </si>
  <si>
    <t>NNV</t>
  </si>
  <si>
    <t xml:space="preserve"> - nároky z nespotřebovaných výdajů (běžné a kapitálové)</t>
  </si>
  <si>
    <t>údaje v tis. Kč</t>
  </si>
  <si>
    <t>Druh příjmů</t>
  </si>
  <si>
    <t>Daňová povinnost</t>
  </si>
  <si>
    <t>Inkaso</t>
  </si>
  <si>
    <t>Nedoplatek</t>
  </si>
  <si>
    <t>Přeplatek</t>
  </si>
  <si>
    <t xml:space="preserve">Správní poplatky - loterie a sázkové hry </t>
  </si>
  <si>
    <t>Pokuty dle z.č. 42/1994 Sb. - penzijní připojištění</t>
  </si>
  <si>
    <t>Poplatky správní</t>
  </si>
  <si>
    <t>Pokuty v blokovém řízení namístě zaplacené</t>
  </si>
  <si>
    <t>Pokuty a náklady řízení ve správním řízení a blokové nezaplacené</t>
  </si>
  <si>
    <t>Neoprávněný majetkový prospěch, pokuty z. č. 526/1990 Sb.</t>
  </si>
  <si>
    <t>Pokuty–dle zákona č. 9/1991 Sb., č. 435/2004 Sb.-zaměstnanost</t>
  </si>
  <si>
    <t>Pokuty - dle z.č. 254/2004 Sb. - omezení plateb v hotovosti</t>
  </si>
  <si>
    <t>Porušení rozpočtové kázně - státní rozpočet</t>
  </si>
  <si>
    <t>Odvody a penále za porušení rozpočtové kázně - podpora bydlení</t>
  </si>
  <si>
    <r>
      <t>Kapitola 312 - MF - Přehled výdajů programů a podprogramů MTZ k 31.12.2009</t>
    </r>
    <r>
      <rPr>
        <b/>
        <sz val="12"/>
        <color indexed="10"/>
        <rFont val="Arial CE"/>
        <family val="0"/>
      </rPr>
      <t xml:space="preserve"> - jen MRZ a NNV</t>
    </r>
  </si>
  <si>
    <t>Daňové a nedaňové příjmy vykazované v kapitole 312 za ČR v roce 2009</t>
  </si>
  <si>
    <t>Přehled povinností, inkasa, přeplatků a nedoplatků za rok 2009</t>
  </si>
  <si>
    <t>Česká republika</t>
  </si>
  <si>
    <t>Daň</t>
  </si>
  <si>
    <t>DPH - daňová povinnost</t>
  </si>
  <si>
    <r>
      <t xml:space="preserve">DPH - </t>
    </r>
    <r>
      <rPr>
        <sz val="8"/>
        <rFont val="Arial CE"/>
        <family val="2"/>
      </rPr>
      <t>nadměrný odpočet a vracení daně</t>
    </r>
  </si>
  <si>
    <t>DPH - celkem</t>
  </si>
  <si>
    <t>Daně spotřební - daňová povinnost</t>
  </si>
  <si>
    <t>Daně spotřební - vracení daně</t>
  </si>
  <si>
    <t>Daně spotřební celkem</t>
  </si>
  <si>
    <t>Daň z příjmů právnických osob</t>
  </si>
  <si>
    <t>Daň z příjmů srážkou § 36</t>
  </si>
  <si>
    <t>Daň silniční</t>
  </si>
  <si>
    <t>Daň dědická</t>
  </si>
  <si>
    <t>Daň darovací</t>
  </si>
  <si>
    <t>Daň z převodu nemovitostí</t>
  </si>
  <si>
    <t>Daň z příjmů fyz. osob z přiznání</t>
  </si>
  <si>
    <t>Daň z příjmů fyz. osob - záv. činnost</t>
  </si>
  <si>
    <t>Daň z nemovitostí</t>
  </si>
  <si>
    <t>Ostat. příjmy. odvody a poplatky</t>
  </si>
  <si>
    <t xml:space="preserve">CELKEM NOVÉ DANĚ </t>
  </si>
  <si>
    <t>Daň z příjmů obyvatelstva</t>
  </si>
  <si>
    <t>Ostatní zruš. daně</t>
  </si>
  <si>
    <t>CELKEM STARÉ DANĚ</t>
  </si>
  <si>
    <t xml:space="preserve">      Tabulka č. 7</t>
  </si>
  <si>
    <t>Výdaje účelově určené na financování programů reprodukce majetku vedených v ISPROFIN</t>
  </si>
  <si>
    <t>Období:</t>
  </si>
  <si>
    <t>Kapitola:</t>
  </si>
  <si>
    <t xml:space="preserve">  (v tis.Kč)</t>
  </si>
  <si>
    <t xml:space="preserve">Evidenční </t>
  </si>
  <si>
    <t xml:space="preserve">           Kapitálové výdaje celkem</t>
  </si>
  <si>
    <t xml:space="preserve">Běžné výdaje účelově určené na financování programů reprodukce majetku </t>
  </si>
  <si>
    <t>Výdaje účelově určené na financování programů reprodukce majetku celkem</t>
  </si>
  <si>
    <t>Název  programu</t>
  </si>
  <si>
    <t>Rozpočet</t>
  </si>
  <si>
    <t>Skutečnost</t>
  </si>
  <si>
    <t>rozpočet</t>
  </si>
  <si>
    <t>programu</t>
  </si>
  <si>
    <t>po změnách</t>
  </si>
  <si>
    <t>plnění</t>
  </si>
  <si>
    <t>Pořízení, obnova a provozování ICT územních finančních orgánů</t>
  </si>
  <si>
    <t>Rozvoj a obnova materiálně technické základny územních finančních orgánů</t>
  </si>
  <si>
    <t>Celkem za všechny  programy</t>
  </si>
  <si>
    <t>112110</t>
  </si>
  <si>
    <t>112210</t>
  </si>
  <si>
    <t>112310</t>
  </si>
  <si>
    <t>212910</t>
  </si>
  <si>
    <t>Rozvoj a obnova materiálně technického zabezpečení celní správy</t>
  </si>
  <si>
    <t>Rozvoj a obnova materiálně technického zabezpečení Úřadu pro zastupování státu ve věci majetkových (ÚZSVM)</t>
  </si>
  <si>
    <t>Výstavba, obnova a provozování centrálně řízených ICT resortu MF</t>
  </si>
  <si>
    <t>2010</t>
  </si>
  <si>
    <t>(příjmení, telefon, podpis):</t>
  </si>
  <si>
    <t>Vypracoval : Ing. Stejskalová, l. 3198</t>
  </si>
  <si>
    <t>Rozvoj a obnova materiálně technické základny systému řízení MF-od r. 2007</t>
  </si>
  <si>
    <t>Ing. Salinger, l. 2667</t>
  </si>
  <si>
    <t>Výstavba, obnova a provozování Státní pokladny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</si>
</sst>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,000.0"/>
    <numFmt numFmtId="169" formatCode="#,##0.0"/>
    <numFmt numFmtId="170" formatCode="0.0%"/>
    <numFmt numFmtId="171" formatCode="0.0"/>
    <numFmt numFmtId="172" formatCode="#,##0;[Red]\-#,##0;&quot;  &quot;"/>
    <numFmt numFmtId="173" formatCode="\+#,##0;\-#,##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b/>
      <sz val="12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12"/>
      <name val="Arial"/>
      <family val="0"/>
    </font>
    <font>
      <i/>
      <sz val="8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2"/>
      <name val="Times New Roman CE"/>
      <family val="1"/>
    </font>
    <font>
      <b/>
      <sz val="14"/>
      <name val="Arial CE"/>
      <family val="2"/>
    </font>
    <font>
      <sz val="14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i/>
      <sz val="10"/>
      <name val="Arial"/>
      <family val="2"/>
    </font>
    <font>
      <sz val="14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8"/>
      <name val="Times New Roman CE"/>
      <family val="1"/>
    </font>
    <font>
      <sz val="16"/>
      <name val="Times New Roman CE"/>
      <family val="1"/>
    </font>
    <font>
      <sz val="14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dotted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3" fontId="5" fillId="0" borderId="4" xfId="0" applyNumberFormat="1" applyFont="1" applyBorder="1" applyAlignment="1">
      <alignment horizontal="center"/>
    </xf>
    <xf numFmtId="169" fontId="5" fillId="0" borderId="8" xfId="0" applyNumberFormat="1" applyFont="1" applyBorder="1" applyAlignment="1">
      <alignment/>
    </xf>
    <xf numFmtId="169" fontId="4" fillId="0" borderId="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9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169" fontId="5" fillId="0" borderId="16" xfId="0" applyNumberFormat="1" applyFont="1" applyBorder="1" applyAlignment="1">
      <alignment/>
    </xf>
    <xf numFmtId="169" fontId="5" fillId="0" borderId="17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69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9" fontId="5" fillId="0" borderId="22" xfId="0" applyNumberFormat="1" applyFont="1" applyBorder="1" applyAlignment="1">
      <alignment/>
    </xf>
    <xf numFmtId="169" fontId="4" fillId="0" borderId="6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69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69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169" fontId="5" fillId="0" borderId="27" xfId="0" applyNumberFormat="1" applyFont="1" applyBorder="1" applyAlignment="1">
      <alignment/>
    </xf>
    <xf numFmtId="169" fontId="4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9" fontId="5" fillId="0" borderId="29" xfId="0" applyNumberFormat="1" applyFont="1" applyBorder="1" applyAlignment="1">
      <alignment/>
    </xf>
    <xf numFmtId="169" fontId="5" fillId="0" borderId="15" xfId="0" applyNumberFormat="1" applyFont="1" applyBorder="1" applyAlignment="1">
      <alignment/>
    </xf>
    <xf numFmtId="169" fontId="5" fillId="0" borderId="4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3" fontId="5" fillId="0" borderId="32" xfId="0" applyNumberFormat="1" applyFont="1" applyBorder="1" applyAlignment="1">
      <alignment/>
    </xf>
    <xf numFmtId="169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169" fontId="5" fillId="0" borderId="32" xfId="0" applyNumberFormat="1" applyFont="1" applyBorder="1" applyAlignment="1">
      <alignment/>
    </xf>
    <xf numFmtId="0" fontId="5" fillId="0" borderId="35" xfId="0" applyFont="1" applyBorder="1" applyAlignment="1">
      <alignment horizontal="centerContinuous"/>
    </xf>
    <xf numFmtId="3" fontId="5" fillId="0" borderId="36" xfId="0" applyNumberFormat="1" applyFont="1" applyBorder="1" applyAlignment="1">
      <alignment/>
    </xf>
    <xf numFmtId="3" fontId="4" fillId="0" borderId="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Continuous" vertical="center"/>
    </xf>
    <xf numFmtId="0" fontId="1" fillId="0" borderId="39" xfId="0" applyFont="1" applyFill="1" applyBorder="1" applyAlignment="1">
      <alignment horizontal="centerContinuous" vertical="center"/>
    </xf>
    <xf numFmtId="0" fontId="1" fillId="0" borderId="40" xfId="0" applyFont="1" applyFill="1" applyBorder="1" applyAlignment="1">
      <alignment horizontal="centerContinuous" vertical="center"/>
    </xf>
    <xf numFmtId="0" fontId="1" fillId="0" borderId="41" xfId="0" applyFont="1" applyFill="1" applyBorder="1" applyAlignment="1">
      <alignment horizontal="centerContinuous" vertical="center" wrapText="1"/>
    </xf>
    <xf numFmtId="0" fontId="1" fillId="0" borderId="42" xfId="0" applyFont="1" applyFill="1" applyBorder="1" applyAlignment="1">
      <alignment horizontal="centerContinuous" vertical="center" wrapText="1"/>
    </xf>
    <xf numFmtId="0" fontId="1" fillId="0" borderId="43" xfId="0" applyFont="1" applyFill="1" applyBorder="1" applyAlignment="1">
      <alignment horizontal="centerContinuous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5" xfId="0" applyFont="1" applyFill="1" applyBorder="1" applyAlignment="1">
      <alignment/>
    </xf>
    <xf numFmtId="3" fontId="13" fillId="0" borderId="46" xfId="0" applyNumberFormat="1" applyFont="1" applyFill="1" applyBorder="1" applyAlignment="1">
      <alignment horizontal="center"/>
    </xf>
    <xf numFmtId="3" fontId="13" fillId="0" borderId="47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3" fontId="13" fillId="0" borderId="48" xfId="0" applyNumberFormat="1" applyFont="1" applyFill="1" applyBorder="1" applyAlignment="1">
      <alignment/>
    </xf>
    <xf numFmtId="3" fontId="13" fillId="0" borderId="49" xfId="0" applyNumberFormat="1" applyFont="1" applyFill="1" applyBorder="1" applyAlignment="1">
      <alignment/>
    </xf>
    <xf numFmtId="3" fontId="13" fillId="0" borderId="50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 horizontal="center"/>
    </xf>
    <xf numFmtId="3" fontId="13" fillId="0" borderId="5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center"/>
    </xf>
    <xf numFmtId="3" fontId="13" fillId="0" borderId="53" xfId="0" applyNumberFormat="1" applyFont="1" applyFill="1" applyBorder="1" applyAlignment="1">
      <alignment horizontal="center"/>
    </xf>
    <xf numFmtId="3" fontId="13" fillId="0" borderId="54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3" fontId="13" fillId="0" borderId="56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3" fillId="0" borderId="30" xfId="0" applyNumberFormat="1" applyFont="1" applyFill="1" applyBorder="1" applyAlignment="1">
      <alignment horizontal="center"/>
    </xf>
    <xf numFmtId="3" fontId="13" fillId="0" borderId="57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4" fontId="10" fillId="0" borderId="48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/>
    </xf>
    <xf numFmtId="4" fontId="10" fillId="0" borderId="6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65" xfId="0" applyFont="1" applyFill="1" applyBorder="1" applyAlignment="1">
      <alignment horizontal="left"/>
    </xf>
    <xf numFmtId="4" fontId="10" fillId="0" borderId="66" xfId="0" applyNumberFormat="1" applyFont="1" applyFill="1" applyBorder="1" applyAlignment="1">
      <alignment/>
    </xf>
    <xf numFmtId="4" fontId="10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3" fontId="10" fillId="0" borderId="67" xfId="0" applyNumberFormat="1" applyFont="1" applyFill="1" applyBorder="1" applyAlignment="1">
      <alignment/>
    </xf>
    <xf numFmtId="4" fontId="10" fillId="0" borderId="68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/>
    </xf>
    <xf numFmtId="4" fontId="10" fillId="0" borderId="52" xfId="0" applyNumberFormat="1" applyFont="1" applyFill="1" applyBorder="1" applyAlignment="1">
      <alignment/>
    </xf>
    <xf numFmtId="0" fontId="0" fillId="0" borderId="61" xfId="0" applyFont="1" applyFill="1" applyBorder="1" applyAlignment="1">
      <alignment/>
    </xf>
    <xf numFmtId="4" fontId="14" fillId="0" borderId="46" xfId="0" applyNumberFormat="1" applyFont="1" applyFill="1" applyBorder="1" applyAlignment="1">
      <alignment/>
    </xf>
    <xf numFmtId="4" fontId="14" fillId="2" borderId="9" xfId="0" applyNumberFormat="1" applyFont="1" applyFill="1" applyBorder="1" applyAlignment="1">
      <alignment/>
    </xf>
    <xf numFmtId="3" fontId="14" fillId="2" borderId="9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4" fontId="14" fillId="2" borderId="46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4" fontId="14" fillId="0" borderId="2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4" fontId="14" fillId="2" borderId="53" xfId="0" applyNumberFormat="1" applyFont="1" applyFill="1" applyBorder="1" applyAlignment="1">
      <alignment/>
    </xf>
    <xf numFmtId="3" fontId="14" fillId="2" borderId="54" xfId="0" applyNumberFormat="1" applyFont="1" applyFill="1" applyBorder="1" applyAlignment="1">
      <alignment/>
    </xf>
    <xf numFmtId="4" fontId="14" fillId="0" borderId="52" xfId="0" applyNumberFormat="1" applyFont="1" applyFill="1" applyBorder="1" applyAlignment="1">
      <alignment/>
    </xf>
    <xf numFmtId="0" fontId="0" fillId="0" borderId="59" xfId="0" applyFont="1" applyFill="1" applyBorder="1" applyAlignment="1">
      <alignment horizontal="left"/>
    </xf>
    <xf numFmtId="4" fontId="10" fillId="0" borderId="56" xfId="0" applyNumberFormat="1" applyFont="1" applyFill="1" applyBorder="1" applyAlignment="1">
      <alignment/>
    </xf>
    <xf numFmtId="4" fontId="10" fillId="0" borderId="4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4" fontId="10" fillId="0" borderId="3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4" fontId="10" fillId="0" borderId="30" xfId="0" applyNumberFormat="1" applyFont="1" applyFill="1" applyBorder="1" applyAlignment="1">
      <alignment/>
    </xf>
    <xf numFmtId="3" fontId="10" fillId="0" borderId="57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10" fillId="2" borderId="65" xfId="0" applyFont="1" applyFill="1" applyBorder="1" applyAlignment="1">
      <alignment/>
    </xf>
    <xf numFmtId="4" fontId="10" fillId="2" borderId="6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4" fontId="10" fillId="2" borderId="66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10" fillId="2" borderId="35" xfId="0" applyNumberFormat="1" applyFont="1" applyFill="1" applyBorder="1" applyAlignment="1">
      <alignment/>
    </xf>
    <xf numFmtId="4" fontId="10" fillId="2" borderId="28" xfId="0" applyNumberFormat="1" applyFont="1" applyFill="1" applyBorder="1" applyAlignment="1">
      <alignment/>
    </xf>
    <xf numFmtId="3" fontId="10" fillId="2" borderId="67" xfId="0" applyNumberFormat="1" applyFont="1" applyFill="1" applyBorder="1" applyAlignment="1">
      <alignment/>
    </xf>
    <xf numFmtId="4" fontId="10" fillId="2" borderId="68" xfId="0" applyNumberFormat="1" applyFont="1" applyFill="1" applyBorder="1" applyAlignment="1">
      <alignment/>
    </xf>
    <xf numFmtId="0" fontId="15" fillId="0" borderId="69" xfId="0" applyFont="1" applyFill="1" applyBorder="1" applyAlignment="1">
      <alignment vertical="top"/>
    </xf>
    <xf numFmtId="0" fontId="0" fillId="2" borderId="69" xfId="0" applyFont="1" applyFill="1" applyBorder="1" applyAlignment="1">
      <alignment horizontal="left" wrapText="1" shrinkToFit="1"/>
    </xf>
    <xf numFmtId="0" fontId="0" fillId="0" borderId="69" xfId="0" applyFont="1" applyFill="1" applyBorder="1" applyAlignment="1">
      <alignment horizontal="left" wrapText="1" shrinkToFit="1"/>
    </xf>
    <xf numFmtId="0" fontId="10" fillId="0" borderId="69" xfId="0" applyFont="1" applyFill="1" applyBorder="1" applyAlignment="1">
      <alignment horizontal="left" wrapText="1" shrinkToFit="1"/>
    </xf>
    <xf numFmtId="0" fontId="0" fillId="0" borderId="69" xfId="0" applyFont="1" applyFill="1" applyBorder="1" applyAlignment="1">
      <alignment/>
    </xf>
    <xf numFmtId="0" fontId="0" fillId="2" borderId="70" xfId="0" applyFont="1" applyFill="1" applyBorder="1" applyAlignment="1">
      <alignment horizontal="left"/>
    </xf>
    <xf numFmtId="4" fontId="10" fillId="0" borderId="71" xfId="0" applyNumberFormat="1" applyFont="1" applyFill="1" applyBorder="1" applyAlignment="1">
      <alignment/>
    </xf>
    <xf numFmtId="4" fontId="10" fillId="2" borderId="27" xfId="0" applyNumberFormat="1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4" fontId="10" fillId="2" borderId="71" xfId="0" applyNumberFormat="1" applyFont="1" applyFill="1" applyBorder="1" applyAlignment="1">
      <alignment/>
    </xf>
    <xf numFmtId="3" fontId="10" fillId="2" borderId="72" xfId="0" applyNumberFormat="1" applyFont="1" applyFill="1" applyBorder="1" applyAlignment="1">
      <alignment/>
    </xf>
    <xf numFmtId="4" fontId="10" fillId="0" borderId="73" xfId="0" applyNumberFormat="1" applyFont="1" applyFill="1" applyBorder="1" applyAlignment="1">
      <alignment/>
    </xf>
    <xf numFmtId="3" fontId="10" fillId="2" borderId="74" xfId="0" applyNumberFormat="1" applyFont="1" applyFill="1" applyBorder="1" applyAlignment="1">
      <alignment/>
    </xf>
    <xf numFmtId="4" fontId="10" fillId="2" borderId="26" xfId="0" applyNumberFormat="1" applyFont="1" applyFill="1" applyBorder="1" applyAlignment="1">
      <alignment/>
    </xf>
    <xf numFmtId="3" fontId="10" fillId="2" borderId="75" xfId="0" applyNumberFormat="1" applyFont="1" applyFill="1" applyBorder="1" applyAlignment="1">
      <alignment/>
    </xf>
    <xf numFmtId="4" fontId="10" fillId="2" borderId="76" xfId="0" applyNumberFormat="1" applyFont="1" applyFill="1" applyBorder="1" applyAlignment="1">
      <alignment/>
    </xf>
    <xf numFmtId="0" fontId="0" fillId="0" borderId="65" xfId="0" applyFont="1" applyFill="1" applyBorder="1" applyAlignment="1">
      <alignment horizontal="left"/>
    </xf>
    <xf numFmtId="0" fontId="0" fillId="0" borderId="70" xfId="0" applyFont="1" applyFill="1" applyBorder="1" applyAlignment="1">
      <alignment horizontal="left"/>
    </xf>
    <xf numFmtId="0" fontId="10" fillId="0" borderId="70" xfId="0" applyFont="1" applyFill="1" applyBorder="1" applyAlignment="1">
      <alignment horizontal="left"/>
    </xf>
    <xf numFmtId="4" fontId="10" fillId="0" borderId="2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3" fontId="10" fillId="0" borderId="75" xfId="0" applyNumberFormat="1" applyFont="1" applyFill="1" applyBorder="1" applyAlignment="1">
      <alignment/>
    </xf>
    <xf numFmtId="4" fontId="10" fillId="0" borderId="76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0" fillId="0" borderId="65" xfId="0" applyFont="1" applyFill="1" applyBorder="1" applyAlignment="1">
      <alignment horizontal="left" shrinkToFit="1"/>
    </xf>
    <xf numFmtId="0" fontId="0" fillId="0" borderId="59" xfId="0" applyFont="1" applyFill="1" applyBorder="1" applyAlignment="1">
      <alignment/>
    </xf>
    <xf numFmtId="0" fontId="10" fillId="2" borderId="65" xfId="0" applyFont="1" applyFill="1" applyBorder="1" applyAlignment="1">
      <alignment vertical="center"/>
    </xf>
    <xf numFmtId="4" fontId="10" fillId="0" borderId="66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4" fontId="10" fillId="2" borderId="6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3" fontId="10" fillId="2" borderId="35" xfId="0" applyNumberFormat="1" applyFont="1" applyFill="1" applyBorder="1" applyAlignment="1">
      <alignment vertical="center"/>
    </xf>
    <xf numFmtId="4" fontId="10" fillId="2" borderId="77" xfId="0" applyNumberFormat="1" applyFont="1" applyFill="1" applyBorder="1" applyAlignment="1">
      <alignment vertical="center"/>
    </xf>
    <xf numFmtId="4" fontId="10" fillId="2" borderId="78" xfId="0" applyNumberFormat="1" applyFont="1" applyFill="1" applyBorder="1" applyAlignment="1">
      <alignment vertical="center"/>
    </xf>
    <xf numFmtId="3" fontId="10" fillId="2" borderId="79" xfId="0" applyNumberFormat="1" applyFont="1" applyFill="1" applyBorder="1" applyAlignment="1">
      <alignment/>
    </xf>
    <xf numFmtId="4" fontId="10" fillId="2" borderId="68" xfId="0" applyNumberFormat="1" applyFont="1" applyFill="1" applyBorder="1" applyAlignment="1">
      <alignment vertical="center"/>
    </xf>
    <xf numFmtId="0" fontId="0" fillId="0" borderId="80" xfId="0" applyFont="1" applyFill="1" applyBorder="1" applyAlignment="1">
      <alignment/>
    </xf>
    <xf numFmtId="4" fontId="10" fillId="0" borderId="77" xfId="0" applyNumberFormat="1" applyFont="1" applyFill="1" applyBorder="1" applyAlignment="1">
      <alignment/>
    </xf>
    <xf numFmtId="4" fontId="10" fillId="0" borderId="81" xfId="0" applyNumberFormat="1" applyFont="1" applyFill="1" applyBorder="1" applyAlignment="1">
      <alignment/>
    </xf>
    <xf numFmtId="3" fontId="10" fillId="0" borderId="81" xfId="0" applyNumberFormat="1" applyFont="1" applyFill="1" applyBorder="1" applyAlignment="1">
      <alignment/>
    </xf>
    <xf numFmtId="3" fontId="10" fillId="0" borderId="82" xfId="0" applyNumberFormat="1" applyFont="1" applyFill="1" applyBorder="1" applyAlignment="1">
      <alignment/>
    </xf>
    <xf numFmtId="4" fontId="10" fillId="0" borderId="83" xfId="0" applyNumberFormat="1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4" fontId="10" fillId="0" borderId="78" xfId="0" applyNumberFormat="1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4" fontId="10" fillId="0" borderId="85" xfId="0" applyNumberFormat="1" applyFont="1" applyFill="1" applyBorder="1" applyAlignment="1">
      <alignment/>
    </xf>
    <xf numFmtId="0" fontId="10" fillId="0" borderId="65" xfId="0" applyFont="1" applyFill="1" applyBorder="1" applyAlignment="1">
      <alignment horizontal="left"/>
    </xf>
    <xf numFmtId="4" fontId="10" fillId="0" borderId="86" xfId="0" applyNumberFormat="1" applyFont="1" applyFill="1" applyBorder="1" applyAlignment="1">
      <alignment/>
    </xf>
    <xf numFmtId="4" fontId="10" fillId="0" borderId="87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3" fontId="10" fillId="0" borderId="88" xfId="0" applyNumberFormat="1" applyFont="1" applyFill="1" applyBorder="1" applyAlignment="1">
      <alignment/>
    </xf>
    <xf numFmtId="0" fontId="1" fillId="0" borderId="61" xfId="0" applyFont="1" applyFill="1" applyBorder="1" applyAlignment="1">
      <alignment horizontal="left"/>
    </xf>
    <xf numFmtId="4" fontId="14" fillId="0" borderId="9" xfId="0" applyNumberFormat="1" applyFont="1" applyFill="1" applyBorder="1" applyAlignment="1">
      <alignment/>
    </xf>
    <xf numFmtId="3" fontId="14" fillId="0" borderId="9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14" fillId="0" borderId="53" xfId="0" applyNumberFormat="1" applyFont="1" applyFill="1" applyBorder="1" applyAlignment="1">
      <alignment/>
    </xf>
    <xf numFmtId="3" fontId="14" fillId="0" borderId="54" xfId="0" applyNumberFormat="1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4" fontId="10" fillId="0" borderId="89" xfId="0" applyNumberFormat="1" applyFont="1" applyFill="1" applyBorder="1" applyAlignment="1">
      <alignment/>
    </xf>
    <xf numFmtId="3" fontId="10" fillId="0" borderId="89" xfId="0" applyNumberFormat="1" applyFont="1" applyFill="1" applyBorder="1" applyAlignment="1">
      <alignment/>
    </xf>
    <xf numFmtId="3" fontId="10" fillId="0" borderId="90" xfId="0" applyNumberFormat="1" applyFont="1" applyFill="1" applyBorder="1" applyAlignment="1">
      <alignment/>
    </xf>
    <xf numFmtId="4" fontId="10" fillId="0" borderId="91" xfId="0" applyNumberFormat="1" applyFont="1" applyFill="1" applyBorder="1" applyAlignment="1">
      <alignment/>
    </xf>
    <xf numFmtId="4" fontId="10" fillId="0" borderId="41" xfId="0" applyNumberFormat="1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92" xfId="0" applyNumberFormat="1" applyFont="1" applyFill="1" applyBorder="1" applyAlignment="1">
      <alignment/>
    </xf>
    <xf numFmtId="3" fontId="10" fillId="0" borderId="93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0" fillId="0" borderId="94" xfId="0" applyFont="1" applyFill="1" applyBorder="1" applyAlignment="1">
      <alignment/>
    </xf>
    <xf numFmtId="4" fontId="10" fillId="0" borderId="95" xfId="0" applyNumberFormat="1" applyFont="1" applyFill="1" applyBorder="1" applyAlignment="1">
      <alignment/>
    </xf>
    <xf numFmtId="3" fontId="10" fillId="0" borderId="95" xfId="0" applyNumberFormat="1" applyFont="1" applyFill="1" applyBorder="1" applyAlignment="1">
      <alignment/>
    </xf>
    <xf numFmtId="3" fontId="10" fillId="0" borderId="96" xfId="0" applyNumberFormat="1" applyFont="1" applyFill="1" applyBorder="1" applyAlignment="1">
      <alignment/>
    </xf>
    <xf numFmtId="4" fontId="10" fillId="0" borderId="97" xfId="0" applyNumberFormat="1" applyFont="1" applyFill="1" applyBorder="1" applyAlignment="1">
      <alignment/>
    </xf>
    <xf numFmtId="4" fontId="10" fillId="0" borderId="98" xfId="0" applyNumberFormat="1" applyFont="1" applyFill="1" applyBorder="1" applyAlignment="1">
      <alignment/>
    </xf>
    <xf numFmtId="3" fontId="10" fillId="0" borderId="99" xfId="0" applyNumberFormat="1" applyFont="1" applyFill="1" applyBorder="1" applyAlignment="1">
      <alignment/>
    </xf>
    <xf numFmtId="4" fontId="10" fillId="0" borderId="100" xfId="0" applyNumberFormat="1" applyFont="1" applyFill="1" applyBorder="1" applyAlignment="1">
      <alignment/>
    </xf>
    <xf numFmtId="3" fontId="10" fillId="0" borderId="101" xfId="0" applyNumberFormat="1" applyFont="1" applyFill="1" applyBorder="1" applyAlignment="1">
      <alignment/>
    </xf>
    <xf numFmtId="4" fontId="10" fillId="0" borderId="10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66" xfId="0" applyFont="1" applyBorder="1" applyAlignment="1">
      <alignment/>
    </xf>
    <xf numFmtId="0" fontId="0" fillId="0" borderId="28" xfId="0" applyBorder="1" applyAlignment="1">
      <alignment/>
    </xf>
    <xf numFmtId="0" fontId="0" fillId="0" borderId="67" xfId="0" applyBorder="1" applyAlignment="1">
      <alignment/>
    </xf>
    <xf numFmtId="0" fontId="0" fillId="0" borderId="103" xfId="0" applyBorder="1" applyAlignment="1">
      <alignment/>
    </xf>
    <xf numFmtId="3" fontId="0" fillId="0" borderId="104" xfId="0" applyNumberFormat="1" applyBorder="1" applyAlignment="1">
      <alignment/>
    </xf>
    <xf numFmtId="3" fontId="0" fillId="0" borderId="105" xfId="0" applyNumberFormat="1" applyFill="1" applyBorder="1" applyAlignment="1">
      <alignment/>
    </xf>
    <xf numFmtId="3" fontId="0" fillId="0" borderId="105" xfId="0" applyNumberFormat="1" applyBorder="1" applyAlignment="1">
      <alignment/>
    </xf>
    <xf numFmtId="0" fontId="1" fillId="0" borderId="103" xfId="0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0" fontId="0" fillId="0" borderId="103" xfId="0" applyFont="1" applyBorder="1" applyAlignment="1">
      <alignment/>
    </xf>
    <xf numFmtId="3" fontId="0" fillId="0" borderId="104" xfId="0" applyNumberFormat="1" applyFont="1" applyBorder="1" applyAlignment="1">
      <alignment/>
    </xf>
    <xf numFmtId="3" fontId="0" fillId="0" borderId="105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1" fillId="0" borderId="106" xfId="0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0" fontId="1" fillId="0" borderId="63" xfId="0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3" fillId="0" borderId="87" xfId="0" applyFont="1" applyBorder="1" applyAlignment="1">
      <alignment/>
    </xf>
    <xf numFmtId="0" fontId="0" fillId="0" borderId="19" xfId="0" applyBorder="1" applyAlignment="1">
      <alignment/>
    </xf>
    <xf numFmtId="0" fontId="0" fillId="0" borderId="88" xfId="0" applyBorder="1" applyAlignment="1">
      <alignment/>
    </xf>
    <xf numFmtId="4" fontId="0" fillId="0" borderId="104" xfId="0" applyNumberFormat="1" applyBorder="1" applyAlignment="1">
      <alignment/>
    </xf>
    <xf numFmtId="4" fontId="0" fillId="0" borderId="105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106" xfId="0" applyBorder="1" applyAlignment="1">
      <alignment/>
    </xf>
    <xf numFmtId="3" fontId="0" fillId="0" borderId="107" xfId="0" applyNumberFormat="1" applyBorder="1" applyAlignment="1">
      <alignment/>
    </xf>
    <xf numFmtId="3" fontId="0" fillId="0" borderId="108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0" xfId="20" applyFill="1">
      <alignment/>
      <protection/>
    </xf>
    <xf numFmtId="0" fontId="0" fillId="0" borderId="0" xfId="0" applyFill="1" applyAlignment="1">
      <alignment/>
    </xf>
    <xf numFmtId="0" fontId="21" fillId="0" borderId="0" xfId="20" applyFont="1" applyFill="1">
      <alignment/>
      <protection/>
    </xf>
    <xf numFmtId="0" fontId="0" fillId="0" borderId="110" xfId="20" applyFill="1" applyBorder="1" applyAlignment="1">
      <alignment horizontal="center"/>
      <protection/>
    </xf>
    <xf numFmtId="0" fontId="0" fillId="0" borderId="1" xfId="20" applyFill="1" applyBorder="1" applyAlignment="1">
      <alignment horizontal="center"/>
      <protection/>
    </xf>
    <xf numFmtId="0" fontId="0" fillId="0" borderId="111" xfId="20" applyFill="1" applyBorder="1" applyAlignment="1">
      <alignment horizont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63" xfId="20" applyFill="1" applyBorder="1" applyAlignment="1">
      <alignment horizontal="center"/>
      <protection/>
    </xf>
    <xf numFmtId="0" fontId="0" fillId="0" borderId="49" xfId="20" applyFill="1" applyBorder="1" applyAlignment="1">
      <alignment horizontal="center"/>
      <protection/>
    </xf>
    <xf numFmtId="0" fontId="0" fillId="0" borderId="50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12" xfId="20" applyFill="1" applyBorder="1" applyAlignment="1">
      <alignment horizontal="center"/>
      <protection/>
    </xf>
    <xf numFmtId="0" fontId="0" fillId="0" borderId="30" xfId="20" applyFont="1" applyFill="1" applyBorder="1" applyAlignment="1">
      <alignment horizontal="center"/>
      <protection/>
    </xf>
    <xf numFmtId="0" fontId="0" fillId="0" borderId="57" xfId="20" applyFill="1" applyBorder="1" applyAlignment="1">
      <alignment horizontal="center"/>
      <protection/>
    </xf>
    <xf numFmtId="0" fontId="0" fillId="0" borderId="11" xfId="20" applyFill="1" applyBorder="1" applyAlignment="1">
      <alignment horizontal="center"/>
      <protection/>
    </xf>
    <xf numFmtId="1" fontId="1" fillId="0" borderId="110" xfId="20" applyNumberFormat="1" applyFont="1" applyFill="1" applyBorder="1" applyAlignment="1">
      <alignment horizontal="left"/>
      <protection/>
    </xf>
    <xf numFmtId="0" fontId="0" fillId="0" borderId="1" xfId="20" applyFont="1" applyFill="1" applyBorder="1">
      <alignment/>
      <protection/>
    </xf>
    <xf numFmtId="3" fontId="0" fillId="0" borderId="0" xfId="20" applyNumberFormat="1" applyFont="1" applyFill="1" applyBorder="1">
      <alignment/>
      <protection/>
    </xf>
    <xf numFmtId="3" fontId="0" fillId="0" borderId="49" xfId="20" applyNumberFormat="1" applyFont="1" applyFill="1" applyBorder="1">
      <alignment/>
      <protection/>
    </xf>
    <xf numFmtId="169" fontId="0" fillId="0" borderId="51" xfId="20" applyNumberFormat="1" applyFont="1" applyFill="1" applyBorder="1">
      <alignment/>
      <protection/>
    </xf>
    <xf numFmtId="3" fontId="0" fillId="0" borderId="110" xfId="20" applyNumberFormat="1" applyFont="1" applyFill="1" applyBorder="1">
      <alignment/>
      <protection/>
    </xf>
    <xf numFmtId="169" fontId="0" fillId="0" borderId="50" xfId="20" applyNumberFormat="1" applyFont="1" applyFill="1" applyBorder="1">
      <alignment/>
      <protection/>
    </xf>
    <xf numFmtId="171" fontId="0" fillId="0" borderId="10" xfId="20" applyNumberFormat="1" applyFont="1" applyFill="1" applyBorder="1">
      <alignment/>
      <protection/>
    </xf>
    <xf numFmtId="1" fontId="1" fillId="0" borderId="112" xfId="20" applyNumberFormat="1" applyFont="1" applyFill="1" applyBorder="1" applyAlignment="1">
      <alignment horizontal="left"/>
      <protection/>
    </xf>
    <xf numFmtId="0" fontId="0" fillId="0" borderId="113" xfId="20" applyFont="1" applyFill="1" applyBorder="1">
      <alignment/>
      <protection/>
    </xf>
    <xf numFmtId="3" fontId="0" fillId="0" borderId="114" xfId="20" applyNumberFormat="1" applyFont="1" applyFill="1" applyBorder="1">
      <alignment/>
      <protection/>
    </xf>
    <xf numFmtId="3" fontId="0" fillId="0" borderId="115" xfId="20" applyNumberFormat="1" applyFont="1" applyFill="1" applyBorder="1">
      <alignment/>
      <protection/>
    </xf>
    <xf numFmtId="169" fontId="0" fillId="0" borderId="116" xfId="20" applyNumberFormat="1" applyFont="1" applyFill="1" applyBorder="1">
      <alignment/>
      <protection/>
    </xf>
    <xf numFmtId="3" fontId="0" fillId="0" borderId="112" xfId="20" applyNumberFormat="1" applyFont="1" applyFill="1" applyBorder="1">
      <alignment/>
      <protection/>
    </xf>
    <xf numFmtId="169" fontId="0" fillId="0" borderId="117" xfId="20" applyNumberFormat="1" applyFont="1" applyFill="1" applyBorder="1">
      <alignment/>
      <protection/>
    </xf>
    <xf numFmtId="171" fontId="0" fillId="0" borderId="118" xfId="20" applyNumberFormat="1" applyFont="1" applyFill="1" applyBorder="1">
      <alignment/>
      <protection/>
    </xf>
    <xf numFmtId="1" fontId="1" fillId="0" borderId="119" xfId="20" applyNumberFormat="1" applyFont="1" applyFill="1" applyBorder="1" applyAlignment="1">
      <alignment horizontal="left"/>
      <protection/>
    </xf>
    <xf numFmtId="0" fontId="0" fillId="0" borderId="120" xfId="20" applyFont="1" applyFill="1" applyBorder="1">
      <alignment/>
      <protection/>
    </xf>
    <xf numFmtId="3" fontId="0" fillId="0" borderId="121" xfId="20" applyNumberFormat="1" applyFont="1" applyFill="1" applyBorder="1">
      <alignment/>
      <protection/>
    </xf>
    <xf numFmtId="3" fontId="0" fillId="0" borderId="122" xfId="20" applyNumberFormat="1" applyFont="1" applyFill="1" applyBorder="1">
      <alignment/>
      <protection/>
    </xf>
    <xf numFmtId="169" fontId="0" fillId="0" borderId="123" xfId="20" applyNumberFormat="1" applyFont="1" applyFill="1" applyBorder="1">
      <alignment/>
      <protection/>
    </xf>
    <xf numFmtId="3" fontId="0" fillId="0" borderId="119" xfId="20" applyNumberFormat="1" applyFont="1" applyFill="1" applyBorder="1">
      <alignment/>
      <protection/>
    </xf>
    <xf numFmtId="169" fontId="0" fillId="0" borderId="124" xfId="20" applyNumberFormat="1" applyFont="1" applyFill="1" applyBorder="1">
      <alignment/>
      <protection/>
    </xf>
    <xf numFmtId="171" fontId="0" fillId="0" borderId="125" xfId="20" applyNumberFormat="1" applyFont="1" applyFill="1" applyBorder="1">
      <alignment/>
      <protection/>
    </xf>
    <xf numFmtId="1" fontId="1" fillId="0" borderId="126" xfId="20" applyNumberFormat="1" applyFont="1" applyFill="1" applyBorder="1" applyAlignment="1">
      <alignment horizontal="left"/>
      <protection/>
    </xf>
    <xf numFmtId="0" fontId="0" fillId="0" borderId="127" xfId="20" applyFont="1" applyFill="1" applyBorder="1">
      <alignment/>
      <protection/>
    </xf>
    <xf numFmtId="3" fontId="0" fillId="0" borderId="128" xfId="20" applyNumberFormat="1" applyFont="1" applyFill="1" applyBorder="1">
      <alignment/>
      <protection/>
    </xf>
    <xf numFmtId="3" fontId="0" fillId="0" borderId="129" xfId="20" applyNumberFormat="1" applyFont="1" applyFill="1" applyBorder="1">
      <alignment/>
      <protection/>
    </xf>
    <xf numFmtId="169" fontId="0" fillId="0" borderId="130" xfId="20" applyNumberFormat="1" applyFont="1" applyFill="1" applyBorder="1">
      <alignment/>
      <protection/>
    </xf>
    <xf numFmtId="3" fontId="0" fillId="0" borderId="126" xfId="20" applyNumberFormat="1" applyFont="1" applyFill="1" applyBorder="1">
      <alignment/>
      <protection/>
    </xf>
    <xf numFmtId="169" fontId="0" fillId="0" borderId="131" xfId="20" applyNumberFormat="1" applyFont="1" applyFill="1" applyBorder="1">
      <alignment/>
      <protection/>
    </xf>
    <xf numFmtId="171" fontId="0" fillId="0" borderId="132" xfId="20" applyNumberFormat="1" applyFont="1" applyFill="1" applyBorder="1">
      <alignment/>
      <protection/>
    </xf>
    <xf numFmtId="0" fontId="1" fillId="0" borderId="127" xfId="20" applyFont="1" applyFill="1" applyBorder="1">
      <alignment/>
      <protection/>
    </xf>
    <xf numFmtId="3" fontId="1" fillId="0" borderId="128" xfId="20" applyNumberFormat="1" applyFont="1" applyFill="1" applyBorder="1">
      <alignment/>
      <protection/>
    </xf>
    <xf numFmtId="3" fontId="1" fillId="0" borderId="122" xfId="20" applyNumberFormat="1" applyFont="1" applyFill="1" applyBorder="1">
      <alignment/>
      <protection/>
    </xf>
    <xf numFmtId="3" fontId="1" fillId="0" borderId="129" xfId="20" applyNumberFormat="1" applyFont="1" applyFill="1" applyBorder="1">
      <alignment/>
      <protection/>
    </xf>
    <xf numFmtId="169" fontId="1" fillId="0" borderId="130" xfId="20" applyNumberFormat="1" applyFont="1" applyFill="1" applyBorder="1">
      <alignment/>
      <protection/>
    </xf>
    <xf numFmtId="3" fontId="1" fillId="0" borderId="126" xfId="20" applyNumberFormat="1" applyFont="1" applyFill="1" applyBorder="1">
      <alignment/>
      <protection/>
    </xf>
    <xf numFmtId="169" fontId="1" fillId="0" borderId="131" xfId="20" applyNumberFormat="1" applyFont="1" applyFill="1" applyBorder="1">
      <alignment/>
      <protection/>
    </xf>
    <xf numFmtId="171" fontId="1" fillId="0" borderId="132" xfId="20" applyNumberFormat="1" applyFont="1" applyFill="1" applyBorder="1">
      <alignment/>
      <protection/>
    </xf>
    <xf numFmtId="1" fontId="1" fillId="0" borderId="119" xfId="20" applyNumberFormat="1" applyFont="1" applyFill="1" applyBorder="1" applyAlignment="1">
      <alignment horizontal="left"/>
      <protection/>
    </xf>
    <xf numFmtId="0" fontId="0" fillId="0" borderId="120" xfId="20" applyFill="1" applyBorder="1">
      <alignment/>
      <protection/>
    </xf>
    <xf numFmtId="1" fontId="1" fillId="0" borderId="111" xfId="20" applyNumberFormat="1" applyFont="1" applyFill="1" applyBorder="1" applyAlignment="1">
      <alignment horizontal="left"/>
      <protection/>
    </xf>
    <xf numFmtId="0" fontId="0" fillId="0" borderId="3" xfId="20" applyFill="1" applyBorder="1">
      <alignment/>
      <protection/>
    </xf>
    <xf numFmtId="3" fontId="0" fillId="0" borderId="30" xfId="20" applyNumberFormat="1" applyFont="1" applyFill="1" applyBorder="1">
      <alignment/>
      <protection/>
    </xf>
    <xf numFmtId="3" fontId="0" fillId="0" borderId="12" xfId="20" applyNumberFormat="1" applyFont="1" applyFill="1" applyBorder="1">
      <alignment/>
      <protection/>
    </xf>
    <xf numFmtId="169" fontId="0" fillId="0" borderId="60" xfId="20" applyNumberFormat="1" applyFont="1" applyFill="1" applyBorder="1">
      <alignment/>
      <protection/>
    </xf>
    <xf numFmtId="3" fontId="0" fillId="0" borderId="133" xfId="20" applyNumberFormat="1" applyFont="1" applyFill="1" applyBorder="1">
      <alignment/>
      <protection/>
    </xf>
    <xf numFmtId="169" fontId="0" fillId="0" borderId="57" xfId="20" applyNumberFormat="1" applyFont="1" applyFill="1" applyBorder="1">
      <alignment/>
      <protection/>
    </xf>
    <xf numFmtId="3" fontId="1" fillId="0" borderId="134" xfId="20" applyNumberFormat="1" applyFont="1" applyFill="1" applyBorder="1">
      <alignment/>
      <protection/>
    </xf>
    <xf numFmtId="3" fontId="1" fillId="0" borderId="78" xfId="20" applyNumberFormat="1" applyFont="1" applyFill="1" applyBorder="1">
      <alignment/>
      <protection/>
    </xf>
    <xf numFmtId="169" fontId="1" fillId="0" borderId="79" xfId="20" applyNumberFormat="1" applyFont="1" applyFill="1" applyBorder="1">
      <alignment/>
      <protection/>
    </xf>
    <xf numFmtId="3" fontId="1" fillId="0" borderId="81" xfId="20" applyNumberFormat="1" applyFont="1" applyFill="1" applyBorder="1">
      <alignment/>
      <protection/>
    </xf>
    <xf numFmtId="3" fontId="1" fillId="0" borderId="84" xfId="20" applyNumberFormat="1" applyFont="1" applyFill="1" applyBorder="1">
      <alignment/>
      <protection/>
    </xf>
    <xf numFmtId="171" fontId="1" fillId="0" borderId="79" xfId="20" applyNumberFormat="1" applyFont="1" applyFill="1" applyBorder="1">
      <alignment/>
      <protection/>
    </xf>
    <xf numFmtId="2" fontId="1" fillId="0" borderId="0" xfId="20" applyNumberFormat="1" applyFont="1" applyFill="1" applyBorder="1" applyAlignment="1">
      <alignment/>
      <protection/>
    </xf>
    <xf numFmtId="3" fontId="1" fillId="0" borderId="0" xfId="20" applyNumberFormat="1" applyFont="1" applyFill="1" applyBorder="1">
      <alignment/>
      <protection/>
    </xf>
    <xf numFmtId="169" fontId="1" fillId="0" borderId="0" xfId="20" applyNumberFormat="1" applyFont="1" applyFill="1" applyBorder="1">
      <alignment/>
      <protection/>
    </xf>
    <xf numFmtId="3" fontId="0" fillId="0" borderId="0" xfId="20" applyNumberFormat="1" applyFill="1">
      <alignment/>
      <protection/>
    </xf>
    <xf numFmtId="0" fontId="0" fillId="0" borderId="110" xfId="20" applyFill="1" applyBorder="1">
      <alignment/>
      <protection/>
    </xf>
    <xf numFmtId="0" fontId="0" fillId="0" borderId="2" xfId="20" applyFill="1" applyBorder="1" applyAlignment="1">
      <alignment horizontal="center"/>
      <protection/>
    </xf>
    <xf numFmtId="0" fontId="0" fillId="0" borderId="22" xfId="20" applyFill="1" applyBorder="1" applyAlignment="1">
      <alignment horizontal="center"/>
      <protection/>
    </xf>
    <xf numFmtId="0" fontId="0" fillId="0" borderId="133" xfId="20" applyFill="1" applyBorder="1" applyAlignment="1">
      <alignment horizontal="center"/>
      <protection/>
    </xf>
    <xf numFmtId="0" fontId="0" fillId="0" borderId="60" xfId="20" applyFill="1" applyBorder="1" applyAlignment="1">
      <alignment horizontal="center"/>
      <protection/>
    </xf>
    <xf numFmtId="49" fontId="1" fillId="0" borderId="1" xfId="20" applyNumberFormat="1" applyFont="1" applyFill="1" applyBorder="1" applyAlignment="1">
      <alignment horizontal="left"/>
      <protection/>
    </xf>
    <xf numFmtId="0" fontId="0" fillId="0" borderId="111" xfId="20" applyFill="1" applyBorder="1" applyAlignment="1">
      <alignment horizontal="left"/>
      <protection/>
    </xf>
    <xf numFmtId="3" fontId="0" fillId="0" borderId="110" xfId="20" applyNumberFormat="1" applyFill="1" applyBorder="1">
      <alignment/>
      <protection/>
    </xf>
    <xf numFmtId="3" fontId="0" fillId="0" borderId="49" xfId="20" applyNumberFormat="1" applyFill="1" applyBorder="1">
      <alignment/>
      <protection/>
    </xf>
    <xf numFmtId="3" fontId="0" fillId="0" borderId="63" xfId="20" applyNumberFormat="1" applyFill="1" applyBorder="1">
      <alignment/>
      <protection/>
    </xf>
    <xf numFmtId="169" fontId="0" fillId="0" borderId="135" xfId="20" applyNumberFormat="1" applyFill="1" applyBorder="1">
      <alignment/>
      <protection/>
    </xf>
    <xf numFmtId="169" fontId="0" fillId="0" borderId="62" xfId="20" applyNumberFormat="1" applyFill="1" applyBorder="1">
      <alignment/>
      <protection/>
    </xf>
    <xf numFmtId="3" fontId="0" fillId="0" borderId="111" xfId="20" applyNumberFormat="1" applyFill="1" applyBorder="1">
      <alignment/>
      <protection/>
    </xf>
    <xf numFmtId="3" fontId="0" fillId="0" borderId="53" xfId="20" applyNumberFormat="1" applyFill="1" applyBorder="1">
      <alignment/>
      <protection/>
    </xf>
    <xf numFmtId="1" fontId="1" fillId="0" borderId="120" xfId="20" applyNumberFormat="1" applyFont="1" applyFill="1" applyBorder="1" applyAlignment="1">
      <alignment horizontal="left"/>
      <protection/>
    </xf>
    <xf numFmtId="0" fontId="0" fillId="0" borderId="119" xfId="20" applyFill="1" applyBorder="1" applyAlignment="1">
      <alignment horizontal="left"/>
      <protection/>
    </xf>
    <xf numFmtId="3" fontId="0" fillId="0" borderId="119" xfId="20" applyNumberFormat="1" applyFill="1" applyBorder="1">
      <alignment/>
      <protection/>
    </xf>
    <xf numFmtId="3" fontId="0" fillId="0" borderId="122" xfId="20" applyNumberFormat="1" applyFill="1" applyBorder="1">
      <alignment/>
      <protection/>
    </xf>
    <xf numFmtId="3" fontId="0" fillId="0" borderId="121" xfId="20" applyNumberFormat="1" applyFill="1" applyBorder="1">
      <alignment/>
      <protection/>
    </xf>
    <xf numFmtId="169" fontId="0" fillId="0" borderId="124" xfId="20" applyNumberFormat="1" applyFill="1" applyBorder="1">
      <alignment/>
      <protection/>
    </xf>
    <xf numFmtId="169" fontId="0" fillId="0" borderId="125" xfId="20" applyNumberFormat="1" applyFill="1" applyBorder="1">
      <alignment/>
      <protection/>
    </xf>
    <xf numFmtId="0" fontId="1" fillId="0" borderId="119" xfId="20" applyFont="1" applyFill="1" applyBorder="1" applyAlignment="1">
      <alignment horizontal="left"/>
      <protection/>
    </xf>
    <xf numFmtId="3" fontId="1" fillId="0" borderId="119" xfId="20" applyNumberFormat="1" applyFont="1" applyFill="1" applyBorder="1">
      <alignment/>
      <protection/>
    </xf>
    <xf numFmtId="3" fontId="1" fillId="0" borderId="123" xfId="20" applyNumberFormat="1" applyFont="1" applyFill="1" applyBorder="1">
      <alignment/>
      <protection/>
    </xf>
    <xf numFmtId="3" fontId="1" fillId="0" borderId="121" xfId="20" applyNumberFormat="1" applyFont="1" applyFill="1" applyBorder="1">
      <alignment/>
      <protection/>
    </xf>
    <xf numFmtId="169" fontId="1" fillId="0" borderId="125" xfId="20" applyNumberFormat="1" applyFont="1" applyFill="1" applyBorder="1">
      <alignment/>
      <protection/>
    </xf>
    <xf numFmtId="0" fontId="0" fillId="0" borderId="111" xfId="20" applyFont="1" applyFill="1" applyBorder="1" applyAlignment="1">
      <alignment horizontal="left"/>
      <protection/>
    </xf>
    <xf numFmtId="3" fontId="1" fillId="0" borderId="83" xfId="20" applyNumberFormat="1" applyFont="1" applyFill="1" applyBorder="1">
      <alignment/>
      <protection/>
    </xf>
    <xf numFmtId="0" fontId="1" fillId="0" borderId="83" xfId="20" applyFont="1" applyFill="1" applyBorder="1">
      <alignment/>
      <protection/>
    </xf>
    <xf numFmtId="3" fontId="1" fillId="0" borderId="84" xfId="20" applyNumberFormat="1" applyFont="1" applyFill="1" applyBorder="1">
      <alignment/>
      <protection/>
    </xf>
    <xf numFmtId="3" fontId="1" fillId="0" borderId="78" xfId="20" applyNumberFormat="1" applyFont="1" applyFill="1" applyBorder="1">
      <alignment/>
      <protection/>
    </xf>
    <xf numFmtId="169" fontId="1" fillId="0" borderId="82" xfId="20" applyNumberFormat="1" applyFont="1" applyFill="1" applyBorder="1">
      <alignment/>
      <protection/>
    </xf>
    <xf numFmtId="169" fontId="0" fillId="0" borderId="54" xfId="20" applyNumberFormat="1" applyFont="1" applyFill="1" applyBorder="1">
      <alignment/>
      <protection/>
    </xf>
    <xf numFmtId="1" fontId="1" fillId="0" borderId="136" xfId="20" applyNumberFormat="1" applyFont="1" applyFill="1" applyBorder="1" applyAlignment="1">
      <alignment horizontal="left"/>
      <protection/>
    </xf>
    <xf numFmtId="0" fontId="0" fillId="0" borderId="137" xfId="20" applyFont="1" applyFill="1" applyBorder="1">
      <alignment/>
      <protection/>
    </xf>
    <xf numFmtId="3" fontId="0" fillId="0" borderId="138" xfId="20" applyNumberFormat="1" applyFont="1" applyFill="1" applyBorder="1">
      <alignment/>
      <protection/>
    </xf>
    <xf numFmtId="3" fontId="0" fillId="0" borderId="25" xfId="20" applyNumberFormat="1" applyFont="1" applyFill="1" applyBorder="1">
      <alignment/>
      <protection/>
    </xf>
    <xf numFmtId="169" fontId="0" fillId="0" borderId="139" xfId="20" applyNumberFormat="1" applyFont="1" applyFill="1" applyBorder="1">
      <alignment/>
      <protection/>
    </xf>
    <xf numFmtId="3" fontId="0" fillId="0" borderId="136" xfId="20" applyNumberFormat="1" applyFont="1" applyFill="1" applyBorder="1">
      <alignment/>
      <protection/>
    </xf>
    <xf numFmtId="169" fontId="0" fillId="0" borderId="140" xfId="20" applyNumberFormat="1" applyFont="1" applyFill="1" applyBorder="1">
      <alignment/>
      <protection/>
    </xf>
    <xf numFmtId="171" fontId="0" fillId="0" borderId="141" xfId="20" applyNumberFormat="1" applyFont="1" applyFill="1" applyBorder="1">
      <alignment/>
      <protection/>
    </xf>
    <xf numFmtId="3" fontId="1" fillId="0" borderId="77" xfId="20" applyNumberFormat="1" applyFont="1" applyFill="1" applyBorder="1">
      <alignment/>
      <protection/>
    </xf>
    <xf numFmtId="169" fontId="1" fillId="0" borderId="82" xfId="20" applyNumberFormat="1" applyFont="1" applyFill="1" applyBorder="1">
      <alignment/>
      <protection/>
    </xf>
    <xf numFmtId="3" fontId="0" fillId="0" borderId="142" xfId="20" applyNumberFormat="1" applyFont="1" applyFill="1" applyBorder="1">
      <alignment/>
      <protection/>
    </xf>
    <xf numFmtId="169" fontId="0" fillId="0" borderId="121" xfId="20" applyNumberFormat="1" applyFont="1" applyFill="1" applyBorder="1">
      <alignment/>
      <protection/>
    </xf>
    <xf numFmtId="169" fontId="0" fillId="0" borderId="125" xfId="20" applyNumberFormat="1" applyFont="1" applyFill="1" applyBorder="1">
      <alignment/>
      <protection/>
    </xf>
    <xf numFmtId="3" fontId="0" fillId="0" borderId="143" xfId="20" applyNumberFormat="1" applyFont="1" applyFill="1" applyBorder="1">
      <alignment/>
      <protection/>
    </xf>
    <xf numFmtId="169" fontId="0" fillId="0" borderId="128" xfId="20" applyNumberFormat="1" applyFont="1" applyFill="1" applyBorder="1">
      <alignment/>
      <protection/>
    </xf>
    <xf numFmtId="169" fontId="0" fillId="0" borderId="132" xfId="20" applyNumberFormat="1" applyFont="1" applyFill="1" applyBorder="1">
      <alignment/>
      <protection/>
    </xf>
    <xf numFmtId="3" fontId="1" fillId="0" borderId="82" xfId="20" applyNumberFormat="1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0" fillId="0" borderId="30" xfId="20" applyFill="1" applyBorder="1" applyAlignment="1">
      <alignment horizontal="center"/>
      <protection/>
    </xf>
    <xf numFmtId="49" fontId="0" fillId="0" borderId="127" xfId="20" applyNumberFormat="1" applyFont="1" applyFill="1" applyBorder="1" applyAlignment="1">
      <alignment horizontal="left"/>
      <protection/>
    </xf>
    <xf numFmtId="0" fontId="24" fillId="0" borderId="127" xfId="20" applyFont="1" applyFill="1" applyBorder="1">
      <alignment/>
      <protection/>
    </xf>
    <xf numFmtId="3" fontId="0" fillId="0" borderId="128" xfId="20" applyNumberFormat="1" applyFill="1" applyBorder="1">
      <alignment/>
      <protection/>
    </xf>
    <xf numFmtId="3" fontId="0" fillId="0" borderId="129" xfId="20" applyNumberFormat="1" applyFill="1" applyBorder="1">
      <alignment/>
      <protection/>
    </xf>
    <xf numFmtId="169" fontId="0" fillId="0" borderId="10" xfId="20" applyNumberFormat="1" applyFill="1" applyBorder="1">
      <alignment/>
      <protection/>
    </xf>
    <xf numFmtId="171" fontId="0" fillId="0" borderId="132" xfId="20" applyNumberFormat="1" applyFill="1" applyBorder="1">
      <alignment/>
      <protection/>
    </xf>
    <xf numFmtId="49" fontId="0" fillId="0" borderId="120" xfId="20" applyNumberFormat="1" applyFont="1" applyFill="1" applyBorder="1" applyAlignment="1">
      <alignment horizontal="left"/>
      <protection/>
    </xf>
    <xf numFmtId="0" fontId="24" fillId="0" borderId="120" xfId="20" applyFont="1" applyFill="1" applyBorder="1">
      <alignment/>
      <protection/>
    </xf>
    <xf numFmtId="171" fontId="0" fillId="0" borderId="125" xfId="20" applyNumberFormat="1" applyFill="1" applyBorder="1">
      <alignment/>
      <protection/>
    </xf>
    <xf numFmtId="49" fontId="1" fillId="0" borderId="120" xfId="20" applyNumberFormat="1" applyFont="1" applyFill="1" applyBorder="1" applyAlignment="1">
      <alignment horizontal="left"/>
      <protection/>
    </xf>
    <xf numFmtId="0" fontId="25" fillId="0" borderId="120" xfId="20" applyFont="1" applyFill="1" applyBorder="1">
      <alignment/>
      <protection/>
    </xf>
    <xf numFmtId="3" fontId="1" fillId="0" borderId="124" xfId="20" applyNumberFormat="1" applyFont="1" applyFill="1" applyBorder="1">
      <alignment/>
      <protection/>
    </xf>
    <xf numFmtId="171" fontId="1" fillId="0" borderId="125" xfId="20" applyNumberFormat="1" applyFont="1" applyFill="1" applyBorder="1">
      <alignment/>
      <protection/>
    </xf>
    <xf numFmtId="3" fontId="0" fillId="0" borderId="114" xfId="20" applyNumberFormat="1" applyFill="1" applyBorder="1">
      <alignment/>
      <protection/>
    </xf>
    <xf numFmtId="3" fontId="0" fillId="0" borderId="115" xfId="20" applyNumberFormat="1" applyFill="1" applyBorder="1">
      <alignment/>
      <protection/>
    </xf>
    <xf numFmtId="169" fontId="0" fillId="0" borderId="117" xfId="20" applyNumberFormat="1" applyFill="1" applyBorder="1">
      <alignment/>
      <protection/>
    </xf>
    <xf numFmtId="171" fontId="0" fillId="0" borderId="118" xfId="20" applyNumberFormat="1" applyFill="1" applyBorder="1">
      <alignment/>
      <protection/>
    </xf>
    <xf numFmtId="3" fontId="0" fillId="0" borderId="112" xfId="20" applyNumberFormat="1" applyFill="1" applyBorder="1">
      <alignment/>
      <protection/>
    </xf>
    <xf numFmtId="49" fontId="1" fillId="0" borderId="2" xfId="20" applyNumberFormat="1" applyFont="1" applyFill="1" applyBorder="1" applyAlignment="1">
      <alignment horizontal="left"/>
      <protection/>
    </xf>
    <xf numFmtId="0" fontId="25" fillId="0" borderId="2" xfId="20" applyFont="1" applyFill="1" applyBorder="1">
      <alignment/>
      <protection/>
    </xf>
    <xf numFmtId="3" fontId="1" fillId="0" borderId="144" xfId="20" applyNumberFormat="1" applyFont="1" applyFill="1" applyBorder="1">
      <alignment/>
      <protection/>
    </xf>
    <xf numFmtId="3" fontId="1" fillId="0" borderId="36" xfId="20" applyNumberFormat="1" applyFont="1" applyFill="1" applyBorder="1">
      <alignment/>
      <protection/>
    </xf>
    <xf numFmtId="3" fontId="1" fillId="0" borderId="145" xfId="20" applyNumberFormat="1" applyFont="1" applyFill="1" applyBorder="1">
      <alignment/>
      <protection/>
    </xf>
    <xf numFmtId="3" fontId="1" fillId="0" borderId="146" xfId="20" applyNumberFormat="1" applyFont="1" applyFill="1" applyBorder="1">
      <alignment/>
      <protection/>
    </xf>
    <xf numFmtId="171" fontId="1" fillId="0" borderId="147" xfId="20" applyNumberFormat="1" applyFont="1" applyFill="1" applyBorder="1">
      <alignment/>
      <protection/>
    </xf>
    <xf numFmtId="3" fontId="1" fillId="0" borderId="83" xfId="20" applyNumberFormat="1" applyFont="1" applyFill="1" applyBorder="1" applyAlignment="1">
      <alignment horizontal="center"/>
      <protection/>
    </xf>
    <xf numFmtId="171" fontId="1" fillId="0" borderId="82" xfId="20" applyNumberFormat="1" applyFont="1" applyFill="1" applyBorder="1">
      <alignment/>
      <protection/>
    </xf>
    <xf numFmtId="3" fontId="1" fillId="0" borderId="1" xfId="20" applyNumberFormat="1" applyFont="1" applyFill="1" applyBorder="1" applyAlignment="1">
      <alignment horizontal="left"/>
      <protection/>
    </xf>
    <xf numFmtId="0" fontId="1" fillId="0" borderId="1" xfId="20" applyFont="1" applyFill="1" applyBorder="1">
      <alignment/>
      <protection/>
    </xf>
    <xf numFmtId="3" fontId="1" fillId="0" borderId="110" xfId="20" applyNumberFormat="1" applyFont="1" applyFill="1" applyBorder="1">
      <alignment/>
      <protection/>
    </xf>
    <xf numFmtId="3" fontId="1" fillId="0" borderId="49" xfId="20" applyNumberFormat="1" applyFont="1" applyFill="1" applyBorder="1">
      <alignment/>
      <protection/>
    </xf>
    <xf numFmtId="169" fontId="1" fillId="0" borderId="62" xfId="20" applyNumberFormat="1" applyFont="1" applyFill="1" applyBorder="1">
      <alignment/>
      <protection/>
    </xf>
    <xf numFmtId="171" fontId="1" fillId="0" borderId="62" xfId="20" applyNumberFormat="1" applyFont="1" applyFill="1" applyBorder="1">
      <alignment/>
      <protection/>
    </xf>
    <xf numFmtId="1" fontId="1" fillId="0" borderId="86" xfId="20" applyNumberFormat="1" applyFont="1" applyFill="1" applyBorder="1" applyAlignment="1">
      <alignment horizontal="left"/>
      <protection/>
    </xf>
    <xf numFmtId="3" fontId="1" fillId="0" borderId="148" xfId="20" applyNumberFormat="1" applyFont="1" applyFill="1" applyBorder="1">
      <alignment/>
      <protection/>
    </xf>
    <xf numFmtId="3" fontId="1" fillId="0" borderId="19" xfId="20" applyNumberFormat="1" applyFont="1" applyFill="1" applyBorder="1">
      <alignment/>
      <protection/>
    </xf>
    <xf numFmtId="171" fontId="1" fillId="0" borderId="149" xfId="20" applyNumberFormat="1" applyFont="1" applyFill="1" applyBorder="1">
      <alignment/>
      <protection/>
    </xf>
    <xf numFmtId="1" fontId="1" fillId="0" borderId="5" xfId="20" applyNumberFormat="1" applyFont="1" applyFill="1" applyBorder="1" applyAlignment="1">
      <alignment horizontal="left"/>
      <protection/>
    </xf>
    <xf numFmtId="3" fontId="1" fillId="0" borderId="35" xfId="20" applyNumberFormat="1" applyFont="1" applyFill="1" applyBorder="1">
      <alignment/>
      <protection/>
    </xf>
    <xf numFmtId="3" fontId="1" fillId="0" borderId="28" xfId="20" applyNumberFormat="1" applyFont="1" applyFill="1" applyBorder="1">
      <alignment/>
      <protection/>
    </xf>
    <xf numFmtId="171" fontId="1" fillId="0" borderId="16" xfId="20" applyNumberFormat="1" applyFont="1" applyFill="1" applyBorder="1">
      <alignment/>
      <protection/>
    </xf>
    <xf numFmtId="1" fontId="1" fillId="0" borderId="3" xfId="20" applyNumberFormat="1" applyFont="1" applyFill="1" applyBorder="1" applyAlignment="1">
      <alignment horizontal="left"/>
      <protection/>
    </xf>
    <xf numFmtId="3" fontId="1" fillId="0" borderId="12" xfId="20" applyNumberFormat="1" applyFont="1" applyFill="1" applyBorder="1">
      <alignment/>
      <protection/>
    </xf>
    <xf numFmtId="3" fontId="1" fillId="0" borderId="30" xfId="20" applyNumberFormat="1" applyFont="1" applyFill="1" applyBorder="1">
      <alignment/>
      <protection/>
    </xf>
    <xf numFmtId="171" fontId="1" fillId="0" borderId="11" xfId="20" applyNumberFormat="1" applyFont="1" applyFill="1" applyBorder="1">
      <alignment/>
      <protection/>
    </xf>
    <xf numFmtId="1" fontId="1" fillId="0" borderId="133" xfId="20" applyNumberFormat="1" applyFont="1" applyFill="1" applyBorder="1" applyAlignment="1">
      <alignment horizontal="left"/>
      <protection/>
    </xf>
    <xf numFmtId="0" fontId="1" fillId="0" borderId="12" xfId="20" applyFont="1" applyFill="1" applyBorder="1">
      <alignment/>
      <protection/>
    </xf>
    <xf numFmtId="3" fontId="1" fillId="0" borderId="133" xfId="20" applyNumberFormat="1" applyFont="1" applyFill="1" applyBorder="1">
      <alignment/>
      <protection/>
    </xf>
    <xf numFmtId="169" fontId="1" fillId="0" borderId="11" xfId="20" applyNumberFormat="1" applyFont="1" applyFill="1" applyBorder="1">
      <alignment/>
      <protection/>
    </xf>
    <xf numFmtId="1" fontId="1" fillId="0" borderId="0" xfId="20" applyNumberFormat="1" applyFont="1" applyFill="1" applyBorder="1" applyAlignment="1">
      <alignment horizontal="center"/>
      <protection/>
    </xf>
    <xf numFmtId="0" fontId="1" fillId="0" borderId="0" xfId="20" applyFont="1" applyFill="1" applyBorder="1">
      <alignment/>
      <protection/>
    </xf>
    <xf numFmtId="171" fontId="0" fillId="0" borderId="0" xfId="20" applyNumberFormat="1" applyFill="1" applyBorder="1">
      <alignment/>
      <protection/>
    </xf>
    <xf numFmtId="3" fontId="0" fillId="0" borderId="0" xfId="20" applyNumberFormat="1" applyFill="1" applyBorder="1">
      <alignment/>
      <protection/>
    </xf>
    <xf numFmtId="1" fontId="1" fillId="0" borderId="150" xfId="20" applyNumberFormat="1" applyFont="1" applyFill="1" applyBorder="1" applyAlignment="1">
      <alignment horizontal="left"/>
      <protection/>
    </xf>
    <xf numFmtId="0" fontId="0" fillId="0" borderId="150" xfId="20" applyFill="1" applyBorder="1">
      <alignment/>
      <protection/>
    </xf>
    <xf numFmtId="171" fontId="0" fillId="0" borderId="62" xfId="20" applyNumberFormat="1" applyFill="1" applyBorder="1">
      <alignment/>
      <protection/>
    </xf>
    <xf numFmtId="3" fontId="0" fillId="0" borderId="22" xfId="20" applyNumberFormat="1" applyFont="1" applyFill="1" applyBorder="1">
      <alignment/>
      <protection/>
    </xf>
    <xf numFmtId="3" fontId="0" fillId="0" borderId="151" xfId="20" applyNumberFormat="1" applyFill="1" applyBorder="1">
      <alignment/>
      <protection/>
    </xf>
    <xf numFmtId="2" fontId="1" fillId="0" borderId="134" xfId="20" applyNumberFormat="1" applyFont="1" applyFill="1" applyBorder="1" applyAlignment="1">
      <alignment/>
      <protection/>
    </xf>
    <xf numFmtId="2" fontId="1" fillId="0" borderId="84" xfId="20" applyNumberFormat="1" applyFont="1" applyFill="1" applyBorder="1" applyAlignment="1">
      <alignment/>
      <protection/>
    </xf>
    <xf numFmtId="1" fontId="1" fillId="0" borderId="1" xfId="20" applyNumberFormat="1" applyFont="1" applyFill="1" applyBorder="1" applyAlignment="1">
      <alignment horizontal="left"/>
      <protection/>
    </xf>
    <xf numFmtId="0" fontId="0" fillId="0" borderId="1" xfId="20" applyFill="1" applyBorder="1">
      <alignment/>
      <protection/>
    </xf>
    <xf numFmtId="0" fontId="1" fillId="0" borderId="134" xfId="20" applyFont="1" applyFill="1" applyBorder="1">
      <alignment/>
      <protection/>
    </xf>
    <xf numFmtId="0" fontId="0" fillId="0" borderId="77" xfId="20" applyFont="1" applyFill="1" applyBorder="1">
      <alignment/>
      <protection/>
    </xf>
    <xf numFmtId="0" fontId="0" fillId="0" borderId="152" xfId="20" applyFill="1" applyBorder="1">
      <alignment/>
      <protection/>
    </xf>
    <xf numFmtId="0" fontId="0" fillId="0" borderId="62" xfId="20" applyFill="1" applyBorder="1">
      <alignment/>
      <protection/>
    </xf>
    <xf numFmtId="0" fontId="1" fillId="0" borderId="111" xfId="20" applyFont="1" applyFill="1" applyBorder="1">
      <alignment/>
      <protection/>
    </xf>
    <xf numFmtId="0" fontId="0" fillId="0" borderId="10" xfId="20" applyFill="1" applyBorder="1">
      <alignment/>
      <protection/>
    </xf>
    <xf numFmtId="0" fontId="0" fillId="0" borderId="48" xfId="20" applyFill="1" applyBorder="1" applyAlignment="1">
      <alignment horizontal="center"/>
      <protection/>
    </xf>
    <xf numFmtId="0" fontId="0" fillId="0" borderId="133" xfId="20" applyFill="1" applyBorder="1">
      <alignment/>
      <protection/>
    </xf>
    <xf numFmtId="0" fontId="0" fillId="0" borderId="11" xfId="20" applyFill="1" applyBorder="1">
      <alignment/>
      <protection/>
    </xf>
    <xf numFmtId="0" fontId="0" fillId="0" borderId="56" xfId="20" applyFill="1" applyBorder="1" applyAlignment="1">
      <alignment horizontal="center"/>
      <protection/>
    </xf>
    <xf numFmtId="0" fontId="1" fillId="0" borderId="153" xfId="20" applyFont="1" applyFill="1" applyBorder="1" applyAlignment="1">
      <alignment horizontal="center"/>
      <protection/>
    </xf>
    <xf numFmtId="0" fontId="1" fillId="0" borderId="150" xfId="20" applyFont="1" applyFill="1" applyBorder="1">
      <alignment/>
      <protection/>
    </xf>
    <xf numFmtId="3" fontId="1" fillId="0" borderId="110" xfId="20" applyNumberFormat="1" applyFont="1" applyFill="1" applyBorder="1">
      <alignment/>
      <protection/>
    </xf>
    <xf numFmtId="3" fontId="1" fillId="0" borderId="49" xfId="20" applyNumberFormat="1" applyFont="1" applyFill="1" applyBorder="1">
      <alignment/>
      <protection/>
    </xf>
    <xf numFmtId="171" fontId="1" fillId="0" borderId="62" xfId="20" applyNumberFormat="1" applyFont="1" applyFill="1" applyBorder="1">
      <alignment/>
      <protection/>
    </xf>
    <xf numFmtId="3" fontId="1" fillId="0" borderId="22" xfId="20" applyNumberFormat="1" applyFont="1" applyFill="1" applyBorder="1">
      <alignment/>
      <protection/>
    </xf>
    <xf numFmtId="0" fontId="1" fillId="0" borderId="133" xfId="20" applyFont="1" applyFill="1" applyBorder="1" applyAlignment="1">
      <alignment horizontal="center"/>
      <protection/>
    </xf>
    <xf numFmtId="0" fontId="1" fillId="0" borderId="3" xfId="20" applyFont="1" applyFill="1" applyBorder="1">
      <alignment/>
      <protection/>
    </xf>
    <xf numFmtId="3" fontId="1" fillId="0" borderId="144" xfId="20" applyNumberFormat="1" applyFont="1" applyFill="1" applyBorder="1">
      <alignment/>
      <protection/>
    </xf>
    <xf numFmtId="3" fontId="1" fillId="0" borderId="36" xfId="20" applyNumberFormat="1" applyFont="1" applyFill="1" applyBorder="1">
      <alignment/>
      <protection/>
    </xf>
    <xf numFmtId="171" fontId="1" fillId="0" borderId="147" xfId="20" applyNumberFormat="1" applyFont="1" applyFill="1" applyBorder="1">
      <alignment/>
      <protection/>
    </xf>
    <xf numFmtId="3" fontId="1" fillId="0" borderId="154" xfId="20" applyNumberFormat="1" applyFont="1" applyFill="1" applyBorder="1">
      <alignment/>
      <protection/>
    </xf>
    <xf numFmtId="0" fontId="1" fillId="0" borderId="134" xfId="20" applyFont="1" applyFill="1" applyBorder="1" applyAlignment="1">
      <alignment horizontal="center"/>
      <protection/>
    </xf>
    <xf numFmtId="0" fontId="1" fillId="0" borderId="82" xfId="20" applyFont="1" applyFill="1" applyBorder="1">
      <alignment/>
      <protection/>
    </xf>
    <xf numFmtId="3" fontId="1" fillId="0" borderId="134" xfId="20" applyNumberFormat="1" applyFont="1" applyFill="1" applyBorder="1">
      <alignment/>
      <protection/>
    </xf>
    <xf numFmtId="171" fontId="1" fillId="0" borderId="82" xfId="20" applyNumberFormat="1" applyFont="1" applyFill="1" applyBorder="1">
      <alignment/>
      <protection/>
    </xf>
    <xf numFmtId="3" fontId="1" fillId="0" borderId="81" xfId="20" applyNumberFormat="1" applyFont="1" applyFill="1" applyBorder="1">
      <alignment/>
      <protection/>
    </xf>
    <xf numFmtId="14" fontId="0" fillId="0" borderId="0" xfId="20" applyNumberFormat="1" applyFill="1">
      <alignment/>
      <protection/>
    </xf>
    <xf numFmtId="49" fontId="0" fillId="0" borderId="0" xfId="20" applyNumberFormat="1" applyFont="1" applyFill="1">
      <alignment/>
      <protection/>
    </xf>
    <xf numFmtId="3" fontId="1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2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53" xfId="0" applyNumberFormat="1" applyBorder="1" applyAlignment="1">
      <alignment horizontal="centerContinuous"/>
    </xf>
    <xf numFmtId="0" fontId="0" fillId="0" borderId="155" xfId="0" applyNumberFormat="1" applyBorder="1" applyAlignment="1">
      <alignment horizontal="centerContinuous"/>
    </xf>
    <xf numFmtId="0" fontId="0" fillId="0" borderId="156" xfId="0" applyNumberFormat="1" applyBorder="1" applyAlignment="1">
      <alignment horizontal="centerContinuous"/>
    </xf>
    <xf numFmtId="0" fontId="0" fillId="0" borderId="156" xfId="0" applyBorder="1" applyAlignment="1">
      <alignment/>
    </xf>
    <xf numFmtId="0" fontId="0" fillId="0" borderId="155" xfId="0" applyBorder="1" applyAlignment="1">
      <alignment horizontal="centerContinuous"/>
    </xf>
    <xf numFmtId="0" fontId="0" fillId="0" borderId="156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19" xfId="0" applyBorder="1" applyAlignment="1">
      <alignment horizontal="centerContinuous"/>
    </xf>
    <xf numFmtId="0" fontId="0" fillId="0" borderId="121" xfId="0" applyBorder="1" applyAlignment="1">
      <alignment horizontal="centerContinuous"/>
    </xf>
    <xf numFmtId="0" fontId="0" fillId="0" borderId="125" xfId="0" applyBorder="1" applyAlignment="1">
      <alignment horizontal="centerContinuous"/>
    </xf>
    <xf numFmtId="0" fontId="0" fillId="3" borderId="119" xfId="0" applyFill="1" applyBorder="1" applyAlignment="1">
      <alignment horizontal="right" vertical="top"/>
    </xf>
    <xf numFmtId="0" fontId="0" fillId="3" borderId="125" xfId="0" applyFill="1" applyBorder="1" applyAlignment="1">
      <alignment horizontal="center" vertical="top"/>
    </xf>
    <xf numFmtId="0" fontId="0" fillId="0" borderId="121" xfId="0" applyBorder="1" applyAlignment="1">
      <alignment horizontal="centerContinuous" vertical="top"/>
    </xf>
    <xf numFmtId="0" fontId="0" fillId="0" borderId="125" xfId="0" applyBorder="1" applyAlignment="1">
      <alignment horizontal="centerContinuous" vertical="top"/>
    </xf>
    <xf numFmtId="0" fontId="0" fillId="0" borderId="125" xfId="0" applyBorder="1" applyAlignment="1">
      <alignment horizontal="center"/>
    </xf>
    <xf numFmtId="0" fontId="0" fillId="0" borderId="151" xfId="0" applyBorder="1" applyAlignment="1">
      <alignment horizontal="center" vertical="top"/>
    </xf>
    <xf numFmtId="0" fontId="0" fillId="0" borderId="122" xfId="0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15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150" xfId="0" applyBorder="1" applyAlignment="1">
      <alignment/>
    </xf>
    <xf numFmtId="3" fontId="0" fillId="0" borderId="157" xfId="0" applyNumberFormat="1" applyBorder="1" applyAlignment="1">
      <alignment/>
    </xf>
    <xf numFmtId="3" fontId="0" fillId="0" borderId="158" xfId="0" applyNumberFormat="1" applyBorder="1" applyAlignment="1">
      <alignment/>
    </xf>
    <xf numFmtId="3" fontId="0" fillId="0" borderId="156" xfId="0" applyNumberFormat="1" applyBorder="1" applyAlignment="1">
      <alignment/>
    </xf>
    <xf numFmtId="3" fontId="0" fillId="2" borderId="156" xfId="0" applyNumberFormat="1" applyFill="1" applyBorder="1" applyAlignment="1">
      <alignment/>
    </xf>
    <xf numFmtId="0" fontId="0" fillId="0" borderId="120" xfId="0" applyBorder="1" applyAlignment="1">
      <alignment/>
    </xf>
    <xf numFmtId="3" fontId="0" fillId="0" borderId="151" xfId="0" applyNumberFormat="1" applyBorder="1" applyAlignment="1">
      <alignment/>
    </xf>
    <xf numFmtId="3" fontId="0" fillId="0" borderId="122" xfId="0" applyNumberFormat="1" applyBorder="1" applyAlignment="1">
      <alignment/>
    </xf>
    <xf numFmtId="3" fontId="0" fillId="0" borderId="125" xfId="0" applyNumberFormat="1" applyBorder="1" applyAlignment="1">
      <alignment/>
    </xf>
    <xf numFmtId="3" fontId="0" fillId="0" borderId="120" xfId="0" applyNumberFormat="1" applyBorder="1" applyAlignment="1">
      <alignment/>
    </xf>
    <xf numFmtId="3" fontId="0" fillId="2" borderId="125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4" borderId="125" xfId="0" applyNumberFormat="1" applyFill="1" applyBorder="1" applyAlignment="1">
      <alignment/>
    </xf>
    <xf numFmtId="3" fontId="0" fillId="5" borderId="125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6" borderId="10" xfId="0" applyNumberFormat="1" applyFill="1" applyBorder="1" applyAlignment="1">
      <alignment/>
    </xf>
    <xf numFmtId="0" fontId="0" fillId="3" borderId="0" xfId="0" applyFill="1" applyAlignment="1">
      <alignment/>
    </xf>
    <xf numFmtId="3" fontId="0" fillId="2" borderId="0" xfId="0" applyNumberFormat="1" applyFill="1" applyAlignment="1">
      <alignment/>
    </xf>
    <xf numFmtId="3" fontId="0" fillId="4" borderId="0" xfId="0" applyNumberFormat="1" applyFont="1" applyFill="1" applyAlignment="1">
      <alignment/>
    </xf>
    <xf numFmtId="3" fontId="0" fillId="5" borderId="0" xfId="0" applyNumberFormat="1" applyFill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3" fontId="20" fillId="0" borderId="0" xfId="0" applyNumberFormat="1" applyFont="1" applyAlignment="1">
      <alignment/>
    </xf>
    <xf numFmtId="0" fontId="1" fillId="0" borderId="11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133" xfId="0" applyBorder="1" applyAlignment="1">
      <alignment/>
    </xf>
    <xf numFmtId="0" fontId="0" fillId="0" borderId="111" xfId="0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7" borderId="111" xfId="0" applyNumberFormat="1" applyFill="1" applyBorder="1" applyAlignment="1">
      <alignment/>
    </xf>
    <xf numFmtId="0" fontId="0" fillId="0" borderId="159" xfId="0" applyBorder="1" applyAlignment="1">
      <alignment/>
    </xf>
    <xf numFmtId="3" fontId="0" fillId="0" borderId="160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1" xfId="0" applyBorder="1" applyAlignment="1">
      <alignment/>
    </xf>
    <xf numFmtId="3" fontId="0" fillId="7" borderId="159" xfId="0" applyNumberFormat="1" applyFill="1" applyBorder="1" applyAlignment="1">
      <alignment/>
    </xf>
    <xf numFmtId="3" fontId="0" fillId="0" borderId="56" xfId="0" applyNumberFormat="1" applyBorder="1" applyAlignment="1">
      <alignment/>
    </xf>
    <xf numFmtId="3" fontId="0" fillId="7" borderId="133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11" xfId="0" applyNumberFormat="1" applyBorder="1" applyAlignment="1">
      <alignment/>
    </xf>
    <xf numFmtId="0" fontId="1" fillId="0" borderId="111" xfId="0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111" xfId="0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0" fontId="24" fillId="0" borderId="105" xfId="0" applyFont="1" applyBorder="1" applyAlignment="1">
      <alignment horizontal="center" vertical="center"/>
    </xf>
    <xf numFmtId="0" fontId="24" fillId="0" borderId="162" xfId="0" applyFont="1" applyBorder="1" applyAlignment="1">
      <alignment horizontal="center" vertical="center"/>
    </xf>
    <xf numFmtId="4" fontId="25" fillId="3" borderId="104" xfId="0" applyNumberFormat="1" applyFont="1" applyFill="1" applyBorder="1" applyAlignment="1">
      <alignment horizontal="right" vertical="center"/>
    </xf>
    <xf numFmtId="4" fontId="25" fillId="3" borderId="105" xfId="0" applyNumberFormat="1" applyFont="1" applyFill="1" applyBorder="1" applyAlignment="1">
      <alignment horizontal="right" vertical="center"/>
    </xf>
    <xf numFmtId="4" fontId="25" fillId="3" borderId="162" xfId="0" applyNumberFormat="1" applyFont="1" applyFill="1" applyBorder="1" applyAlignment="1">
      <alignment horizontal="right" vertical="center"/>
    </xf>
    <xf numFmtId="4" fontId="24" fillId="0" borderId="104" xfId="0" applyNumberFormat="1" applyFont="1" applyFill="1" applyBorder="1" applyAlignment="1">
      <alignment horizontal="right" vertical="center"/>
    </xf>
    <xf numFmtId="4" fontId="24" fillId="0" borderId="105" xfId="0" applyNumberFormat="1" applyFont="1" applyFill="1" applyBorder="1" applyAlignment="1">
      <alignment horizontal="right" vertical="center"/>
    </xf>
    <xf numFmtId="4" fontId="24" fillId="0" borderId="162" xfId="0" applyNumberFormat="1" applyFont="1" applyFill="1" applyBorder="1" applyAlignment="1">
      <alignment horizontal="right" vertical="center"/>
    </xf>
    <xf numFmtId="4" fontId="24" fillId="0" borderId="104" xfId="0" applyNumberFormat="1" applyFont="1" applyBorder="1" applyAlignment="1">
      <alignment horizontal="right" vertical="center" wrapText="1"/>
    </xf>
    <xf numFmtId="4" fontId="24" fillId="0" borderId="105" xfId="0" applyNumberFormat="1" applyFont="1" applyBorder="1" applyAlignment="1">
      <alignment horizontal="right" vertical="center"/>
    </xf>
    <xf numFmtId="4" fontId="24" fillId="0" borderId="162" xfId="0" applyNumberFormat="1" applyFont="1" applyBorder="1" applyAlignment="1">
      <alignment horizontal="right" vertical="center"/>
    </xf>
    <xf numFmtId="4" fontId="24" fillId="0" borderId="104" xfId="0" applyNumberFormat="1" applyFont="1" applyBorder="1" applyAlignment="1">
      <alignment horizontal="right" vertical="center"/>
    </xf>
    <xf numFmtId="4" fontId="24" fillId="0" borderId="28" xfId="0" applyNumberFormat="1" applyFont="1" applyBorder="1" applyAlignment="1">
      <alignment horizontal="right" vertical="center"/>
    </xf>
    <xf numFmtId="4" fontId="24" fillId="0" borderId="163" xfId="0" applyNumberFormat="1" applyFont="1" applyBorder="1" applyAlignment="1">
      <alignment horizontal="right" vertical="center"/>
    </xf>
    <xf numFmtId="4" fontId="24" fillId="4" borderId="104" xfId="0" applyNumberFormat="1" applyFont="1" applyFill="1" applyBorder="1" applyAlignment="1">
      <alignment horizontal="right" vertical="center"/>
    </xf>
    <xf numFmtId="4" fontId="24" fillId="4" borderId="104" xfId="0" applyNumberFormat="1" applyFont="1" applyFill="1" applyBorder="1" applyAlignment="1">
      <alignment horizontal="right" vertical="center" wrapText="1"/>
    </xf>
    <xf numFmtId="4" fontId="24" fillId="4" borderId="105" xfId="0" applyNumberFormat="1" applyFont="1" applyFill="1" applyBorder="1" applyAlignment="1">
      <alignment horizontal="right" vertical="center"/>
    </xf>
    <xf numFmtId="4" fontId="24" fillId="4" borderId="162" xfId="0" applyNumberFormat="1" applyFont="1" applyFill="1" applyBorder="1" applyAlignment="1">
      <alignment horizontal="right" vertical="center"/>
    </xf>
    <xf numFmtId="4" fontId="25" fillId="3" borderId="104" xfId="0" applyNumberFormat="1" applyFont="1" applyFill="1" applyBorder="1" applyAlignment="1">
      <alignment horizontal="right" vertical="center" wrapText="1"/>
    </xf>
    <xf numFmtId="4" fontId="24" fillId="0" borderId="107" xfId="0" applyNumberFormat="1" applyFont="1" applyBorder="1" applyAlignment="1">
      <alignment horizontal="right" vertical="center"/>
    </xf>
    <xf numFmtId="4" fontId="24" fillId="0" borderId="107" xfId="0" applyNumberFormat="1" applyFont="1" applyBorder="1" applyAlignment="1">
      <alignment horizontal="right" vertical="center" wrapText="1"/>
    </xf>
    <xf numFmtId="4" fontId="24" fillId="0" borderId="108" xfId="0" applyNumberFormat="1" applyFont="1" applyBorder="1" applyAlignment="1">
      <alignment horizontal="right" vertical="center"/>
    </xf>
    <xf numFmtId="4" fontId="24" fillId="0" borderId="164" xfId="0" applyNumberFormat="1" applyFont="1" applyBorder="1" applyAlignment="1">
      <alignment horizontal="right" vertical="center"/>
    </xf>
    <xf numFmtId="4" fontId="25" fillId="3" borderId="107" xfId="0" applyNumberFormat="1" applyFont="1" applyFill="1" applyBorder="1" applyAlignment="1">
      <alignment horizontal="right" vertical="center"/>
    </xf>
    <xf numFmtId="4" fontId="25" fillId="3" borderId="107" xfId="0" applyNumberFormat="1" applyFont="1" applyFill="1" applyBorder="1" applyAlignment="1">
      <alignment horizontal="right" vertical="center" wrapText="1"/>
    </xf>
    <xf numFmtId="4" fontId="25" fillId="3" borderId="108" xfId="0" applyNumberFormat="1" applyFont="1" applyFill="1" applyBorder="1" applyAlignment="1">
      <alignment horizontal="right" vertical="center"/>
    </xf>
    <xf numFmtId="4" fontId="25" fillId="3" borderId="164" xfId="0" applyNumberFormat="1" applyFont="1" applyFill="1" applyBorder="1" applyAlignment="1">
      <alignment horizontal="right" vertical="center"/>
    </xf>
    <xf numFmtId="4" fontId="10" fillId="2" borderId="107" xfId="0" applyNumberFormat="1" applyFont="1" applyFill="1" applyBorder="1" applyAlignment="1">
      <alignment horizontal="right"/>
    </xf>
    <xf numFmtId="4" fontId="10" fillId="2" borderId="107" xfId="0" applyNumberFormat="1" applyFont="1" applyFill="1" applyBorder="1" applyAlignment="1">
      <alignment horizontal="right" wrapText="1"/>
    </xf>
    <xf numFmtId="4" fontId="10" fillId="2" borderId="108" xfId="0" applyNumberFormat="1" applyFont="1" applyFill="1" applyBorder="1" applyAlignment="1">
      <alignment horizontal="right"/>
    </xf>
    <xf numFmtId="4" fontId="10" fillId="2" borderId="164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3" fontId="0" fillId="0" borderId="105" xfId="21" applyNumberFormat="1" applyFont="1" applyFill="1" applyBorder="1">
      <alignment/>
      <protection/>
    </xf>
    <xf numFmtId="3" fontId="0" fillId="0" borderId="105" xfId="21" applyNumberFormat="1" applyBorder="1">
      <alignment/>
      <protection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/>
    </xf>
    <xf numFmtId="0" fontId="15" fillId="0" borderId="48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3" fontId="15" fillId="0" borderId="62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6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5" fillId="0" borderId="11" xfId="0" applyNumberFormat="1" applyFont="1" applyFill="1" applyBorder="1" applyAlignment="1">
      <alignment horizontal="center"/>
    </xf>
    <xf numFmtId="169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3" fontId="15" fillId="0" borderId="48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9" xfId="0" applyFont="1" applyFill="1" applyBorder="1" applyAlignment="1">
      <alignment/>
    </xf>
    <xf numFmtId="3" fontId="15" fillId="0" borderId="149" xfId="0" applyNumberFormat="1" applyFont="1" applyFill="1" applyBorder="1" applyAlignment="1">
      <alignment horizontal="right"/>
    </xf>
    <xf numFmtId="169" fontId="15" fillId="0" borderId="86" xfId="0" applyNumberFormat="1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46" xfId="0" applyNumberFormat="1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165" xfId="0" applyFont="1" applyFill="1" applyBorder="1" applyAlignment="1">
      <alignment/>
    </xf>
    <xf numFmtId="3" fontId="15" fillId="0" borderId="33" xfId="0" applyNumberFormat="1" applyFont="1" applyFill="1" applyBorder="1" applyAlignment="1">
      <alignment horizontal="right"/>
    </xf>
    <xf numFmtId="169" fontId="15" fillId="0" borderId="7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169" fontId="15" fillId="0" borderId="31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right"/>
    </xf>
    <xf numFmtId="169" fontId="15" fillId="0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166" xfId="0" applyFont="1" applyFill="1" applyBorder="1" applyAlignment="1">
      <alignment/>
    </xf>
    <xf numFmtId="3" fontId="15" fillId="0" borderId="167" xfId="0" applyNumberFormat="1" applyFont="1" applyFill="1" applyBorder="1" applyAlignment="1">
      <alignment horizontal="right"/>
    </xf>
    <xf numFmtId="169" fontId="15" fillId="0" borderId="168" xfId="0" applyNumberFormat="1" applyFont="1" applyFill="1" applyBorder="1" applyAlignment="1">
      <alignment/>
    </xf>
    <xf numFmtId="3" fontId="15" fillId="0" borderId="168" xfId="0" applyNumberFormat="1" applyFont="1" applyFill="1" applyBorder="1" applyAlignment="1">
      <alignment/>
    </xf>
    <xf numFmtId="3" fontId="15" fillId="0" borderId="86" xfId="0" applyNumberFormat="1" applyFont="1" applyFill="1" applyBorder="1" applyAlignment="1">
      <alignment/>
    </xf>
    <xf numFmtId="3" fontId="15" fillId="0" borderId="149" xfId="0" applyNumberFormat="1" applyFont="1" applyFill="1" applyBorder="1" applyAlignment="1">
      <alignment/>
    </xf>
    <xf numFmtId="0" fontId="15" fillId="0" borderId="105" xfId="0" applyFont="1" applyFill="1" applyBorder="1" applyAlignment="1">
      <alignment/>
    </xf>
    <xf numFmtId="3" fontId="15" fillId="0" borderId="169" xfId="0" applyNumberFormat="1" applyFont="1" applyFill="1" applyBorder="1" applyAlignment="1">
      <alignment horizontal="right"/>
    </xf>
    <xf numFmtId="169" fontId="15" fillId="0" borderId="169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15" fillId="0" borderId="170" xfId="0" applyFont="1" applyFill="1" applyBorder="1" applyAlignment="1">
      <alignment/>
    </xf>
    <xf numFmtId="3" fontId="15" fillId="0" borderId="31" xfId="0" applyNumberFormat="1" applyFont="1" applyFill="1" applyBorder="1" applyAlignment="1">
      <alignment horizontal="right"/>
    </xf>
    <xf numFmtId="3" fontId="15" fillId="0" borderId="171" xfId="0" applyNumberFormat="1" applyFont="1" applyFill="1" applyBorder="1" applyAlignment="1">
      <alignment horizontal="right"/>
    </xf>
    <xf numFmtId="0" fontId="15" fillId="0" borderId="172" xfId="0" applyFont="1" applyFill="1" applyBorder="1" applyAlignment="1">
      <alignment/>
    </xf>
    <xf numFmtId="0" fontId="15" fillId="0" borderId="173" xfId="0" applyFont="1" applyFill="1" applyBorder="1" applyAlignment="1">
      <alignment/>
    </xf>
    <xf numFmtId="3" fontId="15" fillId="0" borderId="174" xfId="0" applyNumberFormat="1" applyFont="1" applyFill="1" applyBorder="1" applyAlignment="1">
      <alignment horizontal="right"/>
    </xf>
    <xf numFmtId="3" fontId="15" fillId="0" borderId="175" xfId="0" applyNumberFormat="1" applyFont="1" applyFill="1" applyBorder="1" applyAlignment="1">
      <alignment horizontal="right"/>
    </xf>
    <xf numFmtId="169" fontId="15" fillId="0" borderId="174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 horizontal="right"/>
    </xf>
    <xf numFmtId="3" fontId="15" fillId="0" borderId="176" xfId="0" applyNumberFormat="1" applyFont="1" applyFill="1" applyBorder="1" applyAlignment="1">
      <alignment horizontal="right"/>
    </xf>
    <xf numFmtId="0" fontId="15" fillId="0" borderId="177" xfId="0" applyFont="1" applyFill="1" applyBorder="1" applyAlignment="1">
      <alignment/>
    </xf>
    <xf numFmtId="3" fontId="15" fillId="0" borderId="178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right"/>
    </xf>
    <xf numFmtId="0" fontId="15" fillId="0" borderId="28" xfId="0" applyFont="1" applyFill="1" applyBorder="1" applyAlignment="1">
      <alignment/>
    </xf>
    <xf numFmtId="3" fontId="15" fillId="0" borderId="179" xfId="0" applyNumberFormat="1" applyFont="1" applyFill="1" applyBorder="1" applyAlignment="1">
      <alignment horizontal="right"/>
    </xf>
    <xf numFmtId="0" fontId="15" fillId="0" borderId="54" xfId="0" applyFont="1" applyFill="1" applyBorder="1" applyAlignment="1">
      <alignment/>
    </xf>
    <xf numFmtId="3" fontId="15" fillId="0" borderId="159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0" fontId="15" fillId="0" borderId="72" xfId="0" applyFont="1" applyFill="1" applyBorder="1" applyAlignment="1">
      <alignment/>
    </xf>
    <xf numFmtId="3" fontId="15" fillId="0" borderId="180" xfId="0" applyNumberFormat="1" applyFont="1" applyFill="1" applyBorder="1" applyAlignment="1">
      <alignment horizontal="right"/>
    </xf>
    <xf numFmtId="0" fontId="15" fillId="0" borderId="181" xfId="0" applyFont="1" applyFill="1" applyBorder="1" applyAlignment="1">
      <alignment/>
    </xf>
    <xf numFmtId="3" fontId="15" fillId="0" borderId="182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 horizontal="right"/>
    </xf>
    <xf numFmtId="169" fontId="15" fillId="0" borderId="14" xfId="0" applyNumberFormat="1" applyFont="1" applyFill="1" applyBorder="1" applyAlignment="1">
      <alignment/>
    </xf>
    <xf numFmtId="0" fontId="15" fillId="0" borderId="49" xfId="0" applyFont="1" applyFill="1" applyBorder="1" applyAlignment="1">
      <alignment/>
    </xf>
    <xf numFmtId="3" fontId="15" fillId="0" borderId="56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169" fontId="15" fillId="0" borderId="5" xfId="0" applyNumberFormat="1" applyFont="1" applyFill="1" applyBorder="1" applyAlignment="1">
      <alignment/>
    </xf>
    <xf numFmtId="3" fontId="15" fillId="0" borderId="183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0" fontId="15" fillId="0" borderId="184" xfId="0" applyFont="1" applyFill="1" applyBorder="1" applyAlignment="1">
      <alignment/>
    </xf>
    <xf numFmtId="3" fontId="15" fillId="0" borderId="185" xfId="0" applyNumberFormat="1" applyFont="1" applyFill="1" applyBorder="1" applyAlignment="1">
      <alignment/>
    </xf>
    <xf numFmtId="3" fontId="15" fillId="0" borderId="174" xfId="0" applyNumberFormat="1" applyFont="1" applyFill="1" applyBorder="1" applyAlignment="1">
      <alignment/>
    </xf>
    <xf numFmtId="3" fontId="15" fillId="0" borderId="176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0" fontId="15" fillId="0" borderId="6" xfId="0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59" xfId="0" applyNumberFormat="1" applyFont="1" applyFill="1" applyBorder="1" applyAlignment="1">
      <alignment/>
    </xf>
    <xf numFmtId="173" fontId="15" fillId="0" borderId="31" xfId="0" applyNumberFormat="1" applyFont="1" applyFill="1" applyBorder="1" applyAlignment="1">
      <alignment/>
    </xf>
    <xf numFmtId="3" fontId="15" fillId="0" borderId="186" xfId="0" applyNumberFormat="1" applyFont="1" applyFill="1" applyBorder="1" applyAlignment="1">
      <alignment/>
    </xf>
    <xf numFmtId="173" fontId="15" fillId="0" borderId="14" xfId="0" applyNumberFormat="1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78" xfId="0" applyFont="1" applyFill="1" applyBorder="1" applyAlignment="1">
      <alignment/>
    </xf>
    <xf numFmtId="0" fontId="13" fillId="0" borderId="81" xfId="0" applyFont="1" applyFill="1" applyBorder="1" applyAlignment="1">
      <alignment/>
    </xf>
    <xf numFmtId="0" fontId="13" fillId="0" borderId="82" xfId="0" applyFont="1" applyFill="1" applyBorder="1" applyAlignment="1">
      <alignment/>
    </xf>
    <xf numFmtId="3" fontId="13" fillId="0" borderId="82" xfId="0" applyNumberFormat="1" applyFont="1" applyFill="1" applyBorder="1" applyAlignment="1">
      <alignment/>
    </xf>
    <xf numFmtId="169" fontId="13" fillId="0" borderId="83" xfId="0" applyNumberFormat="1" applyFont="1" applyFill="1" applyBorder="1" applyAlignment="1">
      <alignment/>
    </xf>
    <xf numFmtId="3" fontId="13" fillId="0" borderId="83" xfId="0" applyNumberFormat="1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5" fillId="0" borderId="187" xfId="0" applyFont="1" applyFill="1" applyBorder="1" applyAlignment="1">
      <alignment horizontal="left"/>
    </xf>
    <xf numFmtId="3" fontId="15" fillId="0" borderId="188" xfId="0" applyNumberFormat="1" applyFont="1" applyFill="1" applyBorder="1" applyAlignment="1">
      <alignment/>
    </xf>
    <xf numFmtId="169" fontId="15" fillId="0" borderId="189" xfId="0" applyNumberFormat="1" applyFont="1" applyFill="1" applyBorder="1" applyAlignment="1">
      <alignment/>
    </xf>
    <xf numFmtId="3" fontId="15" fillId="0" borderId="189" xfId="0" applyNumberFormat="1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5" fillId="0" borderId="165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15" fillId="0" borderId="18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69" fontId="0" fillId="0" borderId="0" xfId="0" applyNumberFormat="1" applyFill="1" applyAlignment="1">
      <alignment/>
    </xf>
    <xf numFmtId="169" fontId="15" fillId="0" borderId="62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3" fillId="0" borderId="87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3" fontId="13" fillId="0" borderId="86" xfId="0" applyNumberFormat="1" applyFont="1" applyFill="1" applyBorder="1" applyAlignment="1">
      <alignment horizontal="right"/>
    </xf>
    <xf numFmtId="169" fontId="13" fillId="0" borderId="86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15" fillId="0" borderId="162" xfId="0" applyFont="1" applyFill="1" applyBorder="1" applyAlignment="1">
      <alignment/>
    </xf>
    <xf numFmtId="0" fontId="15" fillId="0" borderId="111" xfId="0" applyFont="1" applyFill="1" applyBorder="1" applyAlignment="1">
      <alignment/>
    </xf>
    <xf numFmtId="0" fontId="15" fillId="0" borderId="108" xfId="0" applyFont="1" applyFill="1" applyBorder="1" applyAlignment="1">
      <alignment/>
    </xf>
    <xf numFmtId="3" fontId="15" fillId="0" borderId="109" xfId="0" applyNumberFormat="1" applyFont="1" applyFill="1" applyBorder="1" applyAlignment="1">
      <alignment horizontal="right"/>
    </xf>
    <xf numFmtId="169" fontId="15" fillId="0" borderId="109" xfId="0" applyNumberFormat="1" applyFont="1" applyFill="1" applyBorder="1" applyAlignment="1">
      <alignment/>
    </xf>
    <xf numFmtId="0" fontId="15" fillId="0" borderId="111" xfId="0" applyFont="1" applyFill="1" applyBorder="1" applyAlignment="1">
      <alignment horizontal="right"/>
    </xf>
    <xf numFmtId="0" fontId="15" fillId="0" borderId="67" xfId="0" applyFont="1" applyFill="1" applyBorder="1" applyAlignment="1">
      <alignment/>
    </xf>
    <xf numFmtId="3" fontId="15" fillId="0" borderId="5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 horizontal="right"/>
    </xf>
    <xf numFmtId="0" fontId="13" fillId="0" borderId="46" xfId="0" applyFont="1" applyFill="1" applyBorder="1" applyAlignment="1">
      <alignment/>
    </xf>
    <xf numFmtId="0" fontId="15" fillId="0" borderId="163" xfId="0" applyFont="1" applyFill="1" applyBorder="1" applyAlignment="1">
      <alignment/>
    </xf>
    <xf numFmtId="0" fontId="15" fillId="0" borderId="67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right"/>
    </xf>
    <xf numFmtId="0" fontId="13" fillId="0" borderId="190" xfId="0" applyFont="1" applyFill="1" applyBorder="1" applyAlignment="1">
      <alignment/>
    </xf>
    <xf numFmtId="0" fontId="13" fillId="0" borderId="88" xfId="0" applyFont="1" applyFill="1" applyBorder="1" applyAlignment="1">
      <alignment/>
    </xf>
    <xf numFmtId="0" fontId="15" fillId="0" borderId="57" xfId="0" applyFont="1" applyFill="1" applyBorder="1" applyAlignment="1">
      <alignment horizontal="left"/>
    </xf>
    <xf numFmtId="0" fontId="13" fillId="0" borderId="134" xfId="0" applyFont="1" applyFill="1" applyBorder="1" applyAlignment="1">
      <alignment/>
    </xf>
    <xf numFmtId="0" fontId="13" fillId="0" borderId="79" xfId="0" applyFont="1" applyFill="1" applyBorder="1" applyAlignment="1">
      <alignment/>
    </xf>
    <xf numFmtId="3" fontId="13" fillId="0" borderId="83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3" fontId="15" fillId="0" borderId="11" xfId="0" applyNumberFormat="1" applyFont="1" applyFill="1" applyBorder="1" applyAlignment="1">
      <alignment/>
    </xf>
    <xf numFmtId="169" fontId="15" fillId="0" borderId="3" xfId="0" applyNumberFormat="1" applyFont="1" applyFill="1" applyBorder="1" applyAlignment="1">
      <alignment/>
    </xf>
    <xf numFmtId="3" fontId="15" fillId="0" borderId="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8" fillId="0" borderId="87" xfId="0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103" xfId="0" applyFont="1" applyBorder="1" applyAlignment="1">
      <alignment horizontal="left" vertical="top" wrapText="1"/>
    </xf>
    <xf numFmtId="3" fontId="0" fillId="0" borderId="104" xfId="0" applyNumberFormat="1" applyBorder="1" applyAlignment="1">
      <alignment vertical="center"/>
    </xf>
    <xf numFmtId="3" fontId="0" fillId="0" borderId="105" xfId="0" applyNumberFormat="1" applyBorder="1" applyAlignment="1">
      <alignment vertical="center"/>
    </xf>
    <xf numFmtId="49" fontId="18" fillId="0" borderId="77" xfId="0" applyNumberFormat="1" applyFont="1" applyBorder="1" applyAlignment="1">
      <alignment horizontal="center"/>
    </xf>
    <xf numFmtId="3" fontId="18" fillId="0" borderId="78" xfId="0" applyNumberFormat="1" applyFont="1" applyBorder="1" applyAlignment="1">
      <alignment vertical="center"/>
    </xf>
    <xf numFmtId="3" fontId="18" fillId="0" borderId="79" xfId="0" applyNumberFormat="1" applyFont="1" applyBorder="1" applyAlignment="1">
      <alignment vertical="center"/>
    </xf>
    <xf numFmtId="0" fontId="1" fillId="0" borderId="77" xfId="20" applyFont="1" applyBorder="1" applyAlignment="1">
      <alignment horizontal="center" vertical="center" wrapText="1"/>
      <protection/>
    </xf>
    <xf numFmtId="3" fontId="1" fillId="0" borderId="78" xfId="20" applyNumberFormat="1" applyFont="1" applyBorder="1" applyAlignment="1">
      <alignment horizontal="center" vertical="center" wrapText="1"/>
      <protection/>
    </xf>
    <xf numFmtId="3" fontId="1" fillId="0" borderId="78" xfId="20" applyNumberFormat="1" applyFont="1" applyFill="1" applyBorder="1" applyAlignment="1">
      <alignment horizontal="center" vertical="center" wrapText="1"/>
      <protection/>
    </xf>
    <xf numFmtId="3" fontId="1" fillId="0" borderId="79" xfId="20" applyNumberFormat="1" applyFont="1" applyFill="1" applyBorder="1" applyAlignment="1">
      <alignment horizontal="center" vertical="center" wrapText="1"/>
      <protection/>
    </xf>
    <xf numFmtId="0" fontId="15" fillId="0" borderId="66" xfId="20" applyFont="1" applyBorder="1">
      <alignment/>
      <protection/>
    </xf>
    <xf numFmtId="3" fontId="15" fillId="0" borderId="28" xfId="20" applyNumberFormat="1" applyFont="1" applyBorder="1" applyAlignment="1">
      <alignment horizontal="right"/>
      <protection/>
    </xf>
    <xf numFmtId="0" fontId="15" fillId="0" borderId="103" xfId="20" applyFont="1" applyBorder="1">
      <alignment/>
      <protection/>
    </xf>
    <xf numFmtId="3" fontId="15" fillId="0" borderId="104" xfId="20" applyNumberFormat="1" applyFont="1" applyBorder="1" applyAlignment="1">
      <alignment horizontal="right"/>
      <protection/>
    </xf>
    <xf numFmtId="0" fontId="1" fillId="0" borderId="103" xfId="20" applyFont="1" applyBorder="1">
      <alignment/>
      <protection/>
    </xf>
    <xf numFmtId="3" fontId="13" fillId="0" borderId="104" xfId="20" applyNumberFormat="1" applyFont="1" applyBorder="1" applyAlignment="1">
      <alignment horizontal="right"/>
      <protection/>
    </xf>
    <xf numFmtId="3" fontId="15" fillId="0" borderId="104" xfId="20" applyNumberFormat="1" applyFont="1" applyFill="1" applyBorder="1" applyAlignment="1">
      <alignment horizontal="right"/>
      <protection/>
    </xf>
    <xf numFmtId="3" fontId="15" fillId="0" borderId="105" xfId="20" applyNumberFormat="1" applyFont="1" applyFill="1" applyBorder="1" applyAlignment="1">
      <alignment horizontal="right"/>
      <protection/>
    </xf>
    <xf numFmtId="0" fontId="15" fillId="0" borderId="71" xfId="20" applyFont="1" applyBorder="1">
      <alignment/>
      <protection/>
    </xf>
    <xf numFmtId="3" fontId="15" fillId="0" borderId="105" xfId="20" applyNumberFormat="1" applyFont="1" applyBorder="1" applyAlignment="1">
      <alignment horizontal="right"/>
      <protection/>
    </xf>
    <xf numFmtId="3" fontId="13" fillId="0" borderId="104" xfId="20" applyNumberFormat="1" applyFont="1" applyFill="1" applyBorder="1" applyAlignment="1">
      <alignment horizontal="right"/>
      <protection/>
    </xf>
    <xf numFmtId="3" fontId="13" fillId="0" borderId="105" xfId="20" applyNumberFormat="1" applyFont="1" applyFill="1" applyBorder="1" applyAlignment="1">
      <alignment horizontal="right"/>
      <protection/>
    </xf>
    <xf numFmtId="0" fontId="1" fillId="0" borderId="71" xfId="20" applyFont="1" applyBorder="1">
      <alignment/>
      <protection/>
    </xf>
    <xf numFmtId="3" fontId="13" fillId="0" borderId="26" xfId="20" applyNumberFormat="1" applyFont="1" applyBorder="1" applyAlignment="1">
      <alignment horizontal="right"/>
      <protection/>
    </xf>
    <xf numFmtId="3" fontId="13" fillId="0" borderId="26" xfId="20" applyNumberFormat="1" applyFont="1" applyFill="1" applyBorder="1" applyAlignment="1">
      <alignment horizontal="right"/>
      <protection/>
    </xf>
    <xf numFmtId="3" fontId="13" fillId="0" borderId="75" xfId="20" applyNumberFormat="1" applyFont="1" applyFill="1" applyBorder="1" applyAlignment="1">
      <alignment horizontal="right"/>
      <protection/>
    </xf>
    <xf numFmtId="0" fontId="10" fillId="0" borderId="77" xfId="20" applyFont="1" applyBorder="1">
      <alignment/>
      <protection/>
    </xf>
    <xf numFmtId="3" fontId="10" fillId="0" borderId="78" xfId="20" applyNumberFormat="1" applyFont="1" applyBorder="1" applyAlignment="1">
      <alignment horizontal="right"/>
      <protection/>
    </xf>
    <xf numFmtId="3" fontId="10" fillId="0" borderId="78" xfId="20" applyNumberFormat="1" applyFont="1" applyFill="1" applyBorder="1" applyAlignment="1">
      <alignment horizontal="right"/>
      <protection/>
    </xf>
    <xf numFmtId="3" fontId="10" fillId="0" borderId="79" xfId="20" applyNumberFormat="1" applyFont="1" applyFill="1" applyBorder="1" applyAlignment="1">
      <alignment horizontal="right"/>
      <protection/>
    </xf>
    <xf numFmtId="0" fontId="0" fillId="0" borderId="0" xfId="20" applyFont="1">
      <alignment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Fill="1">
      <alignment/>
      <protection/>
    </xf>
    <xf numFmtId="0" fontId="0" fillId="0" borderId="0" xfId="20">
      <alignment/>
      <protection/>
    </xf>
    <xf numFmtId="0" fontId="26" fillId="0" borderId="0" xfId="0" applyFont="1" applyAlignment="1">
      <alignment/>
    </xf>
    <xf numFmtId="0" fontId="28" fillId="0" borderId="0" xfId="0" applyFont="1" applyFill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0" fontId="36" fillId="0" borderId="0" xfId="0" applyFont="1" applyFill="1" applyAlignment="1">
      <alignment horizontal="centerContinuous"/>
    </xf>
    <xf numFmtId="0" fontId="3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12" xfId="0" applyFont="1" applyBorder="1" applyAlignment="1">
      <alignment/>
    </xf>
    <xf numFmtId="0" fontId="2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1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34" xfId="0" applyFont="1" applyBorder="1" applyAlignment="1">
      <alignment horizontal="centerContinuous"/>
    </xf>
    <xf numFmtId="0" fontId="0" fillId="0" borderId="81" xfId="0" applyFont="1" applyBorder="1" applyAlignment="1">
      <alignment horizontal="centerContinuous"/>
    </xf>
    <xf numFmtId="0" fontId="0" fillId="0" borderId="50" xfId="0" applyFont="1" applyBorder="1" applyAlignment="1">
      <alignment horizontal="center"/>
    </xf>
    <xf numFmtId="0" fontId="0" fillId="0" borderId="133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3" fontId="20" fillId="0" borderId="9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11" xfId="0" applyNumberFormat="1" applyFont="1" applyBorder="1" applyAlignment="1">
      <alignment/>
    </xf>
    <xf numFmtId="0" fontId="20" fillId="0" borderId="111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20" fillId="0" borderId="0" xfId="0" applyNumberFormat="1" applyFont="1" applyAlignment="1">
      <alignment/>
    </xf>
    <xf numFmtId="3" fontId="20" fillId="0" borderId="53" xfId="0" applyNumberFormat="1" applyFont="1" applyBorder="1" applyAlignment="1">
      <alignment/>
    </xf>
    <xf numFmtId="0" fontId="39" fillId="0" borderId="0" xfId="0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3" fontId="20" fillId="0" borderId="9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4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110" xfId="0" applyFont="1" applyBorder="1" applyAlignment="1">
      <alignment horizontal="centerContinuous" vertical="center"/>
    </xf>
    <xf numFmtId="0" fontId="0" fillId="0" borderId="63" xfId="0" applyFont="1" applyBorder="1" applyAlignment="1">
      <alignment horizontal="centerContinuous" vertical="center"/>
    </xf>
    <xf numFmtId="0" fontId="0" fillId="0" borderId="110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2" xfId="0" applyFont="1" applyBorder="1" applyAlignment="1">
      <alignment horizontal="centerContinuous" vertical="center"/>
    </xf>
    <xf numFmtId="0" fontId="0" fillId="0" borderId="110" xfId="0" applyFont="1" applyBorder="1" applyAlignment="1">
      <alignment horizontal="centerContinuous" vertical="center" wrapText="1"/>
    </xf>
    <xf numFmtId="0" fontId="0" fillId="0" borderId="0" xfId="0" applyFont="1" applyAlignment="1">
      <alignment vertical="center"/>
    </xf>
    <xf numFmtId="169" fontId="20" fillId="0" borderId="0" xfId="0" applyNumberFormat="1" applyFont="1" applyBorder="1" applyAlignment="1">
      <alignment/>
    </xf>
    <xf numFmtId="169" fontId="20" fillId="0" borderId="10" xfId="0" applyNumberFormat="1" applyFont="1" applyBorder="1" applyAlignment="1">
      <alignment/>
    </xf>
    <xf numFmtId="169" fontId="20" fillId="0" borderId="54" xfId="0" applyNumberFormat="1" applyFont="1" applyBorder="1" applyAlignment="1">
      <alignment/>
    </xf>
    <xf numFmtId="0" fontId="9" fillId="0" borderId="134" xfId="0" applyFont="1" applyBorder="1" applyAlignment="1">
      <alignment/>
    </xf>
    <xf numFmtId="0" fontId="20" fillId="0" borderId="84" xfId="0" applyFont="1" applyBorder="1" applyAlignment="1">
      <alignment/>
    </xf>
    <xf numFmtId="3" fontId="20" fillId="0" borderId="134" xfId="0" applyNumberFormat="1" applyFont="1" applyBorder="1" applyAlignment="1">
      <alignment/>
    </xf>
    <xf numFmtId="3" fontId="20" fillId="0" borderId="84" xfId="0" applyNumberFormat="1" applyFont="1" applyBorder="1" applyAlignment="1">
      <alignment/>
    </xf>
    <xf numFmtId="3" fontId="20" fillId="0" borderId="82" xfId="0" applyNumberFormat="1" applyFont="1" applyBorder="1" applyAlignment="1">
      <alignment/>
    </xf>
    <xf numFmtId="3" fontId="20" fillId="0" borderId="81" xfId="0" applyNumberFormat="1" applyFont="1" applyBorder="1" applyAlignment="1">
      <alignment/>
    </xf>
    <xf numFmtId="169" fontId="20" fillId="0" borderId="84" xfId="0" applyNumberFormat="1" applyFont="1" applyBorder="1" applyAlignment="1">
      <alignment/>
    </xf>
    <xf numFmtId="169" fontId="20" fillId="0" borderId="82" xfId="0" applyNumberFormat="1" applyFont="1" applyBorder="1" applyAlignment="1">
      <alignment/>
    </xf>
    <xf numFmtId="3" fontId="20" fillId="0" borderId="78" xfId="0" applyNumberFormat="1" applyFont="1" applyBorder="1" applyAlignment="1">
      <alignment/>
    </xf>
    <xf numFmtId="169" fontId="20" fillId="0" borderId="79" xfId="0" applyNumberFormat="1" applyFont="1" applyBorder="1" applyAlignment="1">
      <alignment/>
    </xf>
    <xf numFmtId="169" fontId="20" fillId="0" borderId="0" xfId="0" applyNumberFormat="1" applyFont="1" applyBorder="1" applyAlignment="1">
      <alignment vertical="center"/>
    </xf>
    <xf numFmtId="169" fontId="20" fillId="0" borderId="10" xfId="0" applyNumberFormat="1" applyFont="1" applyBorder="1" applyAlignment="1">
      <alignment vertical="center"/>
    </xf>
    <xf numFmtId="3" fontId="20" fillId="0" borderId="111" xfId="0" applyNumberFormat="1" applyFont="1" applyBorder="1" applyAlignment="1">
      <alignment vertical="center"/>
    </xf>
    <xf numFmtId="3" fontId="20" fillId="0" borderId="53" xfId="0" applyNumberFormat="1" applyFont="1" applyBorder="1" applyAlignment="1">
      <alignment vertical="center"/>
    </xf>
    <xf numFmtId="169" fontId="20" fillId="0" borderId="54" xfId="0" applyNumberFormat="1" applyFont="1" applyBorder="1" applyAlignment="1">
      <alignment vertical="center"/>
    </xf>
    <xf numFmtId="2" fontId="1" fillId="0" borderId="82" xfId="20" applyNumberFormat="1" applyFont="1" applyFill="1" applyBorder="1" applyAlignment="1">
      <alignment/>
      <protection/>
    </xf>
    <xf numFmtId="2" fontId="1" fillId="0" borderId="134" xfId="20" applyNumberFormat="1" applyFont="1" applyFill="1" applyBorder="1" applyAlignment="1">
      <alignment/>
      <protection/>
    </xf>
    <xf numFmtId="2" fontId="1" fillId="0" borderId="134" xfId="20" applyNumberFormat="1" applyFont="1" applyFill="1" applyBorder="1" applyAlignment="1">
      <alignment horizontal="center"/>
      <protection/>
    </xf>
    <xf numFmtId="0" fontId="0" fillId="0" borderId="84" xfId="0" applyFont="1" applyBorder="1" applyAlignment="1">
      <alignment horizontal="centerContinuous"/>
    </xf>
    <xf numFmtId="0" fontId="0" fillId="0" borderId="6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133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148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20" applyFont="1" applyFill="1" applyAlignment="1">
      <alignment horizontal="center" vertical="center"/>
      <protection/>
    </xf>
    <xf numFmtId="0" fontId="20" fillId="0" borderId="0" xfId="20" applyFont="1" applyFill="1" applyAlignment="1">
      <alignment horizontal="center" vertical="center"/>
      <protection/>
    </xf>
    <xf numFmtId="2" fontId="1" fillId="0" borderId="84" xfId="20" applyNumberFormat="1" applyFont="1" applyFill="1" applyBorder="1" applyAlignment="1">
      <alignment horizontal="center"/>
      <protection/>
    </xf>
    <xf numFmtId="2" fontId="1" fillId="0" borderId="82" xfId="20" applyNumberFormat="1" applyFont="1" applyFill="1" applyBorder="1" applyAlignment="1">
      <alignment horizontal="center"/>
      <protection/>
    </xf>
    <xf numFmtId="0" fontId="1" fillId="0" borderId="134" xfId="20" applyFont="1" applyFill="1" applyBorder="1" applyAlignment="1">
      <alignment horizontal="center"/>
      <protection/>
    </xf>
    <xf numFmtId="0" fontId="1" fillId="0" borderId="84" xfId="20" applyFont="1" applyFill="1" applyBorder="1" applyAlignment="1">
      <alignment horizontal="center"/>
      <protection/>
    </xf>
    <xf numFmtId="0" fontId="1" fillId="0" borderId="82" xfId="20" applyFont="1" applyFill="1" applyBorder="1" applyAlignment="1">
      <alignment horizontal="center"/>
      <protection/>
    </xf>
    <xf numFmtId="2" fontId="1" fillId="0" borderId="134" xfId="20" applyNumberFormat="1" applyFont="1" applyFill="1" applyBorder="1" applyAlignment="1">
      <alignment/>
      <protection/>
    </xf>
    <xf numFmtId="2" fontId="1" fillId="0" borderId="82" xfId="20" applyNumberFormat="1" applyFont="1" applyFill="1" applyBorder="1" applyAlignment="1">
      <alignment/>
      <protection/>
    </xf>
    <xf numFmtId="0" fontId="9" fillId="0" borderId="0" xfId="20" applyFont="1" applyFill="1" applyAlignment="1">
      <alignment horizontal="center"/>
      <protection/>
    </xf>
    <xf numFmtId="0" fontId="22" fillId="0" borderId="0" xfId="0" applyFont="1" applyFill="1" applyAlignment="1">
      <alignment horizontal="center"/>
    </xf>
    <xf numFmtId="2" fontId="1" fillId="0" borderId="84" xfId="20" applyNumberFormat="1" applyFont="1" applyFill="1" applyBorder="1" applyAlignment="1">
      <alignment/>
      <protection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1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9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4" fillId="0" borderId="179" xfId="0" applyFont="1" applyBorder="1" applyAlignment="1">
      <alignment horizontal="center" vertical="center" wrapText="1"/>
    </xf>
    <xf numFmtId="0" fontId="24" fillId="0" borderId="192" xfId="0" applyFont="1" applyBorder="1" applyAlignment="1">
      <alignment horizontal="center" vertical="center" wrapText="1"/>
    </xf>
    <xf numFmtId="0" fontId="25" fillId="3" borderId="179" xfId="0" applyFont="1" applyFill="1" applyBorder="1" applyAlignment="1">
      <alignment horizontal="left" vertical="center" wrapText="1"/>
    </xf>
    <xf numFmtId="0" fontId="25" fillId="3" borderId="192" xfId="0" applyFont="1" applyFill="1" applyBorder="1" applyAlignment="1">
      <alignment horizontal="left" vertical="center" wrapText="1"/>
    </xf>
    <xf numFmtId="0" fontId="24" fillId="0" borderId="179" xfId="0" applyFont="1" applyBorder="1" applyAlignment="1">
      <alignment horizontal="left" vertical="center" wrapText="1"/>
    </xf>
    <xf numFmtId="0" fontId="24" fillId="0" borderId="192" xfId="0" applyFont="1" applyBorder="1" applyAlignment="1">
      <alignment horizontal="left" vertical="center" wrapText="1"/>
    </xf>
    <xf numFmtId="0" fontId="25" fillId="3" borderId="179" xfId="0" applyFont="1" applyFill="1" applyBorder="1" applyAlignment="1">
      <alignment horizontal="justify" vertical="center" wrapText="1"/>
    </xf>
    <xf numFmtId="0" fontId="25" fillId="3" borderId="192" xfId="0" applyFont="1" applyFill="1" applyBorder="1" applyAlignment="1">
      <alignment horizontal="justify" vertical="center" wrapText="1"/>
    </xf>
    <xf numFmtId="0" fontId="1" fillId="3" borderId="192" xfId="0" applyFont="1" applyFill="1" applyBorder="1" applyAlignment="1">
      <alignment horizontal="left" vertical="center" wrapText="1"/>
    </xf>
    <xf numFmtId="3" fontId="25" fillId="0" borderId="179" xfId="0" applyNumberFormat="1" applyFont="1" applyBorder="1" applyAlignment="1">
      <alignment horizontal="left" vertical="top" wrapText="1"/>
    </xf>
    <xf numFmtId="0" fontId="24" fillId="0" borderId="192" xfId="0" applyFont="1" applyBorder="1" applyAlignment="1">
      <alignment horizontal="left" vertical="top" wrapText="1"/>
    </xf>
    <xf numFmtId="3" fontId="25" fillId="0" borderId="191" xfId="0" applyNumberFormat="1" applyFont="1" applyBorder="1" applyAlignment="1">
      <alignment horizontal="justify" vertical="top" wrapText="1"/>
    </xf>
    <xf numFmtId="0" fontId="24" fillId="0" borderId="6" xfId="0" applyFont="1" applyBorder="1" applyAlignment="1">
      <alignment/>
    </xf>
    <xf numFmtId="0" fontId="25" fillId="0" borderId="179" xfId="0" applyFont="1" applyBorder="1" applyAlignment="1">
      <alignment wrapText="1"/>
    </xf>
    <xf numFmtId="0" fontId="24" fillId="0" borderId="192" xfId="0" applyFont="1" applyBorder="1" applyAlignment="1">
      <alignment/>
    </xf>
    <xf numFmtId="3" fontId="25" fillId="0" borderId="179" xfId="0" applyNumberFormat="1" applyFont="1" applyBorder="1" applyAlignment="1">
      <alignment horizontal="justify" vertical="top" wrapText="1"/>
    </xf>
    <xf numFmtId="3" fontId="24" fillId="0" borderId="192" xfId="0" applyNumberFormat="1" applyFont="1" applyBorder="1" applyAlignment="1">
      <alignment horizontal="justify" vertical="top" wrapText="1"/>
    </xf>
    <xf numFmtId="0" fontId="24" fillId="4" borderId="179" xfId="0" applyFont="1" applyFill="1" applyBorder="1" applyAlignment="1">
      <alignment horizontal="left" vertical="center" wrapText="1"/>
    </xf>
    <xf numFmtId="0" fontId="24" fillId="4" borderId="192" xfId="0" applyFont="1" applyFill="1" applyBorder="1" applyAlignment="1">
      <alignment horizontal="left" vertical="center" wrapText="1"/>
    </xf>
    <xf numFmtId="3" fontId="24" fillId="0" borderId="179" xfId="0" applyNumberFormat="1" applyFont="1" applyBorder="1" applyAlignment="1">
      <alignment horizontal="justify" vertical="top" wrapText="1"/>
    </xf>
    <xf numFmtId="3" fontId="24" fillId="0" borderId="193" xfId="0" applyNumberFormat="1" applyFont="1" applyBorder="1" applyAlignment="1">
      <alignment horizontal="justify" vertical="top" wrapText="1"/>
    </xf>
    <xf numFmtId="3" fontId="24" fillId="0" borderId="194" xfId="0" applyNumberFormat="1" applyFont="1" applyBorder="1" applyAlignment="1">
      <alignment horizontal="justify" vertical="top" wrapText="1"/>
    </xf>
    <xf numFmtId="3" fontId="24" fillId="0" borderId="195" xfId="0" applyNumberFormat="1" applyFont="1" applyBorder="1" applyAlignment="1">
      <alignment horizontal="justify" vertical="top" wrapText="1"/>
    </xf>
    <xf numFmtId="0" fontId="13" fillId="3" borderId="80" xfId="0" applyFont="1" applyFill="1" applyBorder="1" applyAlignment="1">
      <alignment horizontal="left" wrapText="1"/>
    </xf>
    <xf numFmtId="0" fontId="13" fillId="3" borderId="81" xfId="0" applyFont="1" applyFill="1" applyBorder="1" applyAlignment="1">
      <alignment horizontal="left" wrapText="1"/>
    </xf>
    <xf numFmtId="0" fontId="10" fillId="2" borderId="196" xfId="0" applyFont="1" applyFill="1" applyBorder="1" applyAlignment="1">
      <alignment/>
    </xf>
    <xf numFmtId="0" fontId="10" fillId="2" borderId="197" xfId="0" applyFont="1" applyFill="1" applyBorder="1" applyAlignment="1">
      <alignment/>
    </xf>
    <xf numFmtId="0" fontId="0" fillId="0" borderId="119" xfId="0" applyBorder="1" applyAlignment="1">
      <alignment horizontal="center" vertical="top"/>
    </xf>
    <xf numFmtId="0" fontId="0" fillId="0" borderId="121" xfId="0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3" fontId="15" fillId="0" borderId="26" xfId="20" applyNumberFormat="1" applyFont="1" applyFill="1" applyBorder="1" applyAlignment="1">
      <alignment horizontal="center"/>
      <protection/>
    </xf>
    <xf numFmtId="3" fontId="15" fillId="0" borderId="28" xfId="20" applyNumberFormat="1" applyFont="1" applyFill="1" applyBorder="1" applyAlignment="1">
      <alignment horizontal="center"/>
      <protection/>
    </xf>
    <xf numFmtId="3" fontId="15" fillId="0" borderId="75" xfId="20" applyNumberFormat="1" applyFont="1" applyFill="1" applyBorder="1" applyAlignment="1">
      <alignment horizontal="center"/>
      <protection/>
    </xf>
    <xf numFmtId="3" fontId="15" fillId="0" borderId="67" xfId="20" applyNumberFormat="1" applyFont="1" applyFill="1" applyBorder="1" applyAlignment="1">
      <alignment horizontal="center"/>
      <protection/>
    </xf>
    <xf numFmtId="0" fontId="27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2" fillId="0" borderId="0" xfId="20" applyFont="1" applyBorder="1" applyAlignment="1">
      <alignment horizontal="right"/>
      <protection/>
    </xf>
    <xf numFmtId="3" fontId="15" fillId="0" borderId="53" xfId="20" applyNumberFormat="1" applyFont="1" applyFill="1" applyBorder="1" applyAlignment="1">
      <alignment horizontal="center"/>
      <protection/>
    </xf>
    <xf numFmtId="3" fontId="15" fillId="0" borderId="54" xfId="20" applyNumberFormat="1" applyFont="1" applyFill="1" applyBorder="1" applyAlignment="1">
      <alignment horizontal="center"/>
      <protection/>
    </xf>
    <xf numFmtId="49" fontId="20" fillId="0" borderId="111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0" fillId="0" borderId="110" xfId="0" applyNumberFormat="1" applyFont="1" applyBorder="1" applyAlignment="1">
      <alignment horizontal="center"/>
    </xf>
    <xf numFmtId="49" fontId="20" fillId="0" borderId="62" xfId="0" applyNumberFormat="1" applyFont="1" applyBorder="1" applyAlignment="1">
      <alignment horizontal="center"/>
    </xf>
    <xf numFmtId="3" fontId="20" fillId="0" borderId="110" xfId="0" applyNumberFormat="1" applyFont="1" applyBorder="1" applyAlignment="1">
      <alignment horizontal="left"/>
    </xf>
    <xf numFmtId="3" fontId="20" fillId="0" borderId="63" xfId="0" applyNumberFormat="1" applyFont="1" applyBorder="1" applyAlignment="1">
      <alignment horizontal="left"/>
    </xf>
    <xf numFmtId="3" fontId="20" fillId="0" borderId="62" xfId="0" applyNumberFormat="1" applyFont="1" applyBorder="1" applyAlignment="1">
      <alignment horizontal="left"/>
    </xf>
    <xf numFmtId="3" fontId="20" fillId="0" borderId="111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 horizontal="left"/>
    </xf>
    <xf numFmtId="0" fontId="0" fillId="0" borderId="13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3" fontId="20" fillId="0" borderId="11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20" fillId="0" borderId="11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List1" xfId="20"/>
    <cellStyle name="normální_List3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N&#225;vrh%20SR\N%202009\0.NR%202009%20a%20SDV%202010-2001\1.%20NR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S%20Z%20&#218;\2009\Rozpo&#269;et%202009%20po%20zm&#283;n&#225;ch\RZ%202009%20-%20Sta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43ÚOOÚ"/>
      <sheetName val="344ÚPV"/>
      <sheetName val="345ČSÚ"/>
      <sheetName val="346ČÚZK"/>
      <sheetName val="348ČBÚ"/>
      <sheetName val="349ERÚ"/>
      <sheetName val="353ÚOHS"/>
      <sheetName val="355ÚSTR"/>
      <sheetName val="358ÚS"/>
      <sheetName val="361AV"/>
      <sheetName val="372RRTV"/>
      <sheetName val="374SSHR"/>
      <sheetName val="375SÚJB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Obálky"/>
      <sheetName val="338MI"/>
    </sheetNames>
    <sheetDataSet>
      <sheetData sheetId="8">
        <row r="13">
          <cell r="DF13">
            <v>19478</v>
          </cell>
          <cell r="DG13">
            <v>651532</v>
          </cell>
          <cell r="DH13">
            <v>1427</v>
          </cell>
        </row>
        <row r="19">
          <cell r="DF19">
            <v>12206</v>
          </cell>
          <cell r="DG19">
            <v>4643363</v>
          </cell>
          <cell r="DH19">
            <v>15598</v>
          </cell>
        </row>
        <row r="28">
          <cell r="DF28">
            <v>8979</v>
          </cell>
          <cell r="DG28">
            <v>2494349</v>
          </cell>
          <cell r="DH28">
            <v>6690</v>
          </cell>
        </row>
        <row r="30">
          <cell r="DG30">
            <v>2025848</v>
          </cell>
          <cell r="DH30">
            <v>5045</v>
          </cell>
        </row>
        <row r="41">
          <cell r="DF41">
            <v>19094</v>
          </cell>
          <cell r="DG41">
            <v>716304</v>
          </cell>
          <cell r="DH41">
            <v>2197</v>
          </cell>
        </row>
        <row r="75">
          <cell r="DE75">
            <v>8565305</v>
          </cell>
          <cell r="DF75">
            <v>59757</v>
          </cell>
          <cell r="DG75">
            <v>8505548</v>
          </cell>
          <cell r="DH75">
            <v>25912</v>
          </cell>
          <cell r="DI75">
            <v>27353.954409797265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Schv.o."/>
    </sheetNames>
    <sheetDataSet>
      <sheetData sheetId="0">
        <row r="18">
          <cell r="FF18">
            <v>8659607</v>
          </cell>
          <cell r="FG18">
            <v>61808</v>
          </cell>
          <cell r="FH18">
            <v>8597799</v>
          </cell>
          <cell r="FI18">
            <v>25917</v>
          </cell>
          <cell r="FJ18">
            <v>25913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0">
      <selection activeCell="F57" sqref="F57"/>
    </sheetView>
  </sheetViews>
  <sheetFormatPr defaultColWidth="9.125" defaultRowHeight="12.75"/>
  <cols>
    <col min="1" max="1" width="33.125" style="2" customWidth="1"/>
    <col min="2" max="2" width="10.75390625" style="29" customWidth="1"/>
    <col min="3" max="4" width="11.125" style="2" customWidth="1"/>
    <col min="5" max="5" width="11.875" style="2" customWidth="1"/>
    <col min="6" max="6" width="11.625" style="2" customWidth="1"/>
    <col min="7" max="7" width="8.00390625" style="2" customWidth="1"/>
    <col min="8" max="16384" width="9.125" style="2" customWidth="1"/>
  </cols>
  <sheetData>
    <row r="1" spans="1:2" ht="12.75">
      <c r="A1" s="1" t="s">
        <v>47</v>
      </c>
      <c r="B1" s="28"/>
    </row>
    <row r="2" ht="12.75">
      <c r="A2" s="2" t="s">
        <v>63</v>
      </c>
    </row>
    <row r="3" ht="13.5" thickBot="1">
      <c r="H3" s="21"/>
    </row>
    <row r="4" spans="1:8" ht="12.75">
      <c r="A4" s="3"/>
      <c r="B4" s="31">
        <v>2008</v>
      </c>
      <c r="C4" s="962">
        <v>2009</v>
      </c>
      <c r="D4" s="963"/>
      <c r="E4" s="963"/>
      <c r="F4" s="963"/>
      <c r="G4" s="964"/>
      <c r="H4" s="17" t="s">
        <v>54</v>
      </c>
    </row>
    <row r="5" spans="1:8" ht="12.75">
      <c r="A5" s="4" t="s">
        <v>0</v>
      </c>
      <c r="B5" s="30" t="s">
        <v>1</v>
      </c>
      <c r="C5" s="73" t="s">
        <v>58</v>
      </c>
      <c r="D5" s="73"/>
      <c r="E5" s="24"/>
      <c r="F5" s="22" t="s">
        <v>1</v>
      </c>
      <c r="G5" s="22" t="s">
        <v>2</v>
      </c>
      <c r="H5" s="17" t="s">
        <v>3</v>
      </c>
    </row>
    <row r="6" spans="1:8" ht="13.5" thickBot="1">
      <c r="A6" s="5"/>
      <c r="B6" s="25" t="s">
        <v>64</v>
      </c>
      <c r="C6" s="6" t="s">
        <v>4</v>
      </c>
      <c r="D6" s="23" t="s">
        <v>60</v>
      </c>
      <c r="E6" s="23" t="s">
        <v>59</v>
      </c>
      <c r="F6" s="25" t="s">
        <v>64</v>
      </c>
      <c r="G6" s="23" t="s">
        <v>5</v>
      </c>
      <c r="H6" s="40" t="s">
        <v>6</v>
      </c>
    </row>
    <row r="7" spans="1:8" ht="13.5" thickBot="1">
      <c r="A7" s="5" t="s">
        <v>7</v>
      </c>
      <c r="B7" s="25">
        <v>1</v>
      </c>
      <c r="C7" s="6">
        <v>2</v>
      </c>
      <c r="D7" s="6">
        <v>3</v>
      </c>
      <c r="E7" s="6">
        <v>4</v>
      </c>
      <c r="F7" s="6">
        <v>5</v>
      </c>
      <c r="G7" s="25" t="s">
        <v>62</v>
      </c>
      <c r="H7" s="18" t="s">
        <v>61</v>
      </c>
    </row>
    <row r="8" spans="1:8" ht="12.75">
      <c r="A8" s="7" t="s">
        <v>8</v>
      </c>
      <c r="B8" s="8">
        <f>SUM(B10:B27)</f>
        <v>50363</v>
      </c>
      <c r="C8" s="8">
        <f>SUM(C10:C27)</f>
        <v>1503718</v>
      </c>
      <c r="D8" s="8">
        <f>SUM(D10:D27)</f>
        <v>1503718</v>
      </c>
      <c r="E8" s="41">
        <f>SUM(E10:E27)</f>
        <v>0</v>
      </c>
      <c r="F8" s="41">
        <f>SUM(F10:F27)</f>
        <v>1956276</v>
      </c>
      <c r="G8" s="41">
        <f>F8/D8*100</f>
        <v>130.09593554110546</v>
      </c>
      <c r="H8" s="34">
        <f>F8/B8*100</f>
        <v>3884.3516073307783</v>
      </c>
    </row>
    <row r="9" spans="1:8" ht="12.75">
      <c r="A9" s="9" t="s">
        <v>9</v>
      </c>
      <c r="B9" s="10"/>
      <c r="C9" s="10"/>
      <c r="D9" s="10"/>
      <c r="E9" s="42"/>
      <c r="F9" s="42"/>
      <c r="G9" s="43"/>
      <c r="H9" s="35"/>
    </row>
    <row r="10" spans="1:8" ht="12.75">
      <c r="A10" s="9" t="s">
        <v>55</v>
      </c>
      <c r="B10" s="10"/>
      <c r="C10" s="10">
        <v>1310000</v>
      </c>
      <c r="D10" s="10">
        <v>1310000</v>
      </c>
      <c r="E10" s="42"/>
      <c r="F10" s="42">
        <v>1303055</v>
      </c>
      <c r="G10" s="26">
        <f aca="true" t="shared" si="0" ref="G10:G58">F10/D10*100</f>
        <v>99.46984732824427</v>
      </c>
      <c r="H10" s="35"/>
    </row>
    <row r="11" spans="1:8" ht="12.75">
      <c r="A11" s="9" t="s">
        <v>10</v>
      </c>
      <c r="B11" s="42"/>
      <c r="C11" s="10"/>
      <c r="D11" s="10"/>
      <c r="E11" s="42"/>
      <c r="F11" s="42"/>
      <c r="G11" s="27" t="e">
        <f t="shared" si="0"/>
        <v>#DIV/0!</v>
      </c>
      <c r="H11" s="35"/>
    </row>
    <row r="12" spans="1:8" ht="12.75">
      <c r="A12" s="9" t="s">
        <v>11</v>
      </c>
      <c r="B12" s="42"/>
      <c r="C12" s="10"/>
      <c r="D12" s="10"/>
      <c r="E12" s="42"/>
      <c r="F12" s="42"/>
      <c r="G12" s="27" t="e">
        <f t="shared" si="0"/>
        <v>#DIV/0!</v>
      </c>
      <c r="H12" s="35"/>
    </row>
    <row r="13" spans="1:8" ht="12.75">
      <c r="A13" s="9" t="s">
        <v>12</v>
      </c>
      <c r="B13" s="44">
        <v>212</v>
      </c>
      <c r="C13" s="10">
        <v>148</v>
      </c>
      <c r="D13" s="10">
        <v>143</v>
      </c>
      <c r="E13" s="10"/>
      <c r="F13" s="44">
        <v>255</v>
      </c>
      <c r="G13" s="45">
        <f t="shared" si="0"/>
        <v>178.32167832167832</v>
      </c>
      <c r="H13" s="35">
        <f aca="true" t="shared" si="1" ref="H13:H27">F13/B13*100</f>
        <v>120.28301886792451</v>
      </c>
    </row>
    <row r="14" spans="1:8" ht="12.75">
      <c r="A14" s="38" t="s">
        <v>50</v>
      </c>
      <c r="B14" s="44"/>
      <c r="C14" s="10"/>
      <c r="D14" s="10"/>
      <c r="E14" s="10"/>
      <c r="F14" s="44"/>
      <c r="G14" s="45" t="e">
        <f t="shared" si="0"/>
        <v>#DIV/0!</v>
      </c>
      <c r="H14" s="35"/>
    </row>
    <row r="15" spans="1:8" ht="12.75">
      <c r="A15" s="9" t="s">
        <v>13</v>
      </c>
      <c r="B15" s="44">
        <v>24533</v>
      </c>
      <c r="C15" s="10">
        <v>17660</v>
      </c>
      <c r="D15" s="10">
        <v>17888</v>
      </c>
      <c r="E15" s="10"/>
      <c r="F15" s="44">
        <v>23313</v>
      </c>
      <c r="G15" s="45">
        <f t="shared" si="0"/>
        <v>130.3275939177102</v>
      </c>
      <c r="H15" s="35">
        <f t="shared" si="1"/>
        <v>95.02710634655362</v>
      </c>
    </row>
    <row r="16" spans="1:8" ht="12.75">
      <c r="A16" s="9" t="s">
        <v>14</v>
      </c>
      <c r="B16" s="44">
        <v>3513</v>
      </c>
      <c r="C16" s="10">
        <v>2835</v>
      </c>
      <c r="D16" s="10">
        <v>2724</v>
      </c>
      <c r="E16" s="10"/>
      <c r="F16" s="44">
        <v>2911</v>
      </c>
      <c r="G16" s="45">
        <f t="shared" si="0"/>
        <v>106.86490455212922</v>
      </c>
      <c r="H16" s="35">
        <f t="shared" si="1"/>
        <v>82.86364930259037</v>
      </c>
    </row>
    <row r="17" spans="1:8" ht="12.75">
      <c r="A17" s="9" t="s">
        <v>15</v>
      </c>
      <c r="B17" s="44">
        <v>5</v>
      </c>
      <c r="C17" s="10">
        <v>166000</v>
      </c>
      <c r="D17" s="10">
        <v>166000</v>
      </c>
      <c r="E17" s="10"/>
      <c r="F17" s="44">
        <v>609982</v>
      </c>
      <c r="G17" s="45">
        <f t="shared" si="0"/>
        <v>367.4590361445783</v>
      </c>
      <c r="H17" s="35">
        <f t="shared" si="1"/>
        <v>12199640</v>
      </c>
    </row>
    <row r="18" spans="1:8" ht="12.75">
      <c r="A18" s="9" t="s">
        <v>16</v>
      </c>
      <c r="B18" s="44">
        <v>91</v>
      </c>
      <c r="C18" s="10">
        <v>79</v>
      </c>
      <c r="D18" s="10">
        <v>59</v>
      </c>
      <c r="E18" s="10"/>
      <c r="F18" s="44">
        <v>143</v>
      </c>
      <c r="G18" s="45">
        <f t="shared" si="0"/>
        <v>242.37288135593224</v>
      </c>
      <c r="H18" s="35">
        <f t="shared" si="1"/>
        <v>157.14285714285714</v>
      </c>
    </row>
    <row r="19" spans="1:8" ht="12.75">
      <c r="A19" s="9" t="s">
        <v>17</v>
      </c>
      <c r="B19" s="44">
        <v>13673</v>
      </c>
      <c r="C19" s="10">
        <v>6156</v>
      </c>
      <c r="D19" s="10">
        <v>6274</v>
      </c>
      <c r="E19" s="10"/>
      <c r="F19" s="44">
        <v>13752</v>
      </c>
      <c r="G19" s="45">
        <f t="shared" si="0"/>
        <v>219.19030921262356</v>
      </c>
      <c r="H19" s="35">
        <f t="shared" si="1"/>
        <v>100.57778102830395</v>
      </c>
    </row>
    <row r="20" spans="1:8" ht="12.75">
      <c r="A20" s="9" t="s">
        <v>57</v>
      </c>
      <c r="B20" s="44"/>
      <c r="C20" s="10"/>
      <c r="D20" s="10"/>
      <c r="E20" s="10"/>
      <c r="F20" s="44"/>
      <c r="G20" s="45" t="e">
        <f t="shared" si="0"/>
        <v>#DIV/0!</v>
      </c>
      <c r="H20" s="35"/>
    </row>
    <row r="21" spans="1:8" ht="12.75">
      <c r="A21" s="39" t="s">
        <v>51</v>
      </c>
      <c r="B21" s="44"/>
      <c r="C21" s="10"/>
      <c r="D21" s="10"/>
      <c r="E21" s="10"/>
      <c r="F21" s="44"/>
      <c r="G21" s="45" t="e">
        <f t="shared" si="0"/>
        <v>#DIV/0!</v>
      </c>
      <c r="H21" s="35"/>
    </row>
    <row r="22" spans="1:8" ht="12.75">
      <c r="A22" s="9" t="s">
        <v>18</v>
      </c>
      <c r="B22" s="44">
        <v>946</v>
      </c>
      <c r="C22" s="10">
        <v>840</v>
      </c>
      <c r="D22" s="10">
        <v>630</v>
      </c>
      <c r="E22" s="10"/>
      <c r="F22" s="44">
        <v>1417</v>
      </c>
      <c r="G22" s="45">
        <f t="shared" si="0"/>
        <v>224.9206349206349</v>
      </c>
      <c r="H22" s="35">
        <f t="shared" si="1"/>
        <v>149.78858350951373</v>
      </c>
    </row>
    <row r="23" spans="1:8" ht="12.75">
      <c r="A23" s="39" t="s">
        <v>52</v>
      </c>
      <c r="B23" s="44"/>
      <c r="C23" s="10"/>
      <c r="D23" s="10"/>
      <c r="E23" s="10"/>
      <c r="F23" s="44"/>
      <c r="G23" s="45" t="e">
        <f t="shared" si="0"/>
        <v>#DIV/0!</v>
      </c>
      <c r="H23" s="35"/>
    </row>
    <row r="24" spans="1:8" ht="12.75" customHeight="1">
      <c r="A24" s="9" t="s">
        <v>19</v>
      </c>
      <c r="B24" s="44"/>
      <c r="C24" s="10"/>
      <c r="D24" s="10"/>
      <c r="E24" s="44"/>
      <c r="F24" s="44"/>
      <c r="G24" s="45" t="e">
        <f t="shared" si="0"/>
        <v>#DIV/0!</v>
      </c>
      <c r="H24" s="35" t="e">
        <f t="shared" si="1"/>
        <v>#DIV/0!</v>
      </c>
    </row>
    <row r="25" spans="1:8" ht="12.75" customHeight="1">
      <c r="A25" s="9" t="s">
        <v>53</v>
      </c>
      <c r="B25" s="44"/>
      <c r="C25" s="10"/>
      <c r="D25" s="10"/>
      <c r="E25" s="10"/>
      <c r="F25" s="44"/>
      <c r="G25" s="45" t="e">
        <f t="shared" si="0"/>
        <v>#DIV/0!</v>
      </c>
      <c r="H25" s="35"/>
    </row>
    <row r="26" spans="1:8" ht="12.75" customHeight="1">
      <c r="A26" s="68" t="s">
        <v>56</v>
      </c>
      <c r="B26" s="71"/>
      <c r="C26" s="69"/>
      <c r="D26" s="69"/>
      <c r="E26" s="69"/>
      <c r="F26" s="71"/>
      <c r="G26" s="72" t="e">
        <f t="shared" si="0"/>
        <v>#DIV/0!</v>
      </c>
      <c r="H26" s="70"/>
    </row>
    <row r="27" spans="1:8" ht="13.5" thickBot="1">
      <c r="A27" s="5" t="s">
        <v>20</v>
      </c>
      <c r="B27" s="74">
        <v>7390</v>
      </c>
      <c r="C27" s="11"/>
      <c r="D27" s="11"/>
      <c r="E27" s="67"/>
      <c r="F27" s="66">
        <v>1448</v>
      </c>
      <c r="G27" s="46" t="e">
        <f t="shared" si="0"/>
        <v>#DIV/0!</v>
      </c>
      <c r="H27" s="47">
        <f t="shared" si="1"/>
        <v>19.59404600811908</v>
      </c>
    </row>
    <row r="28" spans="1:8" ht="12.75">
      <c r="A28" s="4"/>
      <c r="B28" s="12"/>
      <c r="C28" s="12"/>
      <c r="D28" s="12"/>
      <c r="E28" s="48"/>
      <c r="F28" s="48"/>
      <c r="G28" s="49"/>
      <c r="H28" s="36"/>
    </row>
    <row r="29" spans="1:8" ht="12.75">
      <c r="A29" s="7" t="s">
        <v>21</v>
      </c>
      <c r="B29" s="8">
        <f>B31+B37</f>
        <v>7928825</v>
      </c>
      <c r="C29" s="8">
        <f>C31+C37</f>
        <v>7743759</v>
      </c>
      <c r="D29" s="8">
        <f>D31+D37</f>
        <v>8093292</v>
      </c>
      <c r="E29" s="8">
        <f>E31+E37</f>
        <v>8159019</v>
      </c>
      <c r="F29" s="8">
        <f>F31+F37</f>
        <v>7983688</v>
      </c>
      <c r="G29" s="50">
        <f t="shared" si="0"/>
        <v>98.64574267183242</v>
      </c>
      <c r="H29" s="34">
        <f>F29/B29*100</f>
        <v>100.69194363603687</v>
      </c>
    </row>
    <row r="30" spans="1:8" ht="12.75">
      <c r="A30" s="9" t="s">
        <v>22</v>
      </c>
      <c r="B30" s="10"/>
      <c r="C30" s="10"/>
      <c r="D30" s="10"/>
      <c r="E30" s="51"/>
      <c r="F30" s="51"/>
      <c r="G30" s="52"/>
      <c r="H30" s="35"/>
    </row>
    <row r="31" spans="1:8" ht="12.75">
      <c r="A31" s="7" t="s">
        <v>23</v>
      </c>
      <c r="B31" s="8">
        <f>B33+B34+B35</f>
        <v>488791</v>
      </c>
      <c r="C31" s="8">
        <f>C33+C34+C35</f>
        <v>221209</v>
      </c>
      <c r="D31" s="8">
        <f>D33+D34+D35</f>
        <v>367018</v>
      </c>
      <c r="E31" s="8">
        <f>E33+E34+E35</f>
        <v>415882</v>
      </c>
      <c r="F31" s="8">
        <f>F33+F34+F35</f>
        <v>250757</v>
      </c>
      <c r="G31" s="50">
        <f t="shared" si="0"/>
        <v>68.32280705578472</v>
      </c>
      <c r="H31" s="34">
        <f>F31/B31*100</f>
        <v>51.30147650018105</v>
      </c>
    </row>
    <row r="32" spans="1:8" ht="12.75">
      <c r="A32" s="9" t="s">
        <v>24</v>
      </c>
      <c r="B32" s="10"/>
      <c r="C32" s="10"/>
      <c r="D32" s="10"/>
      <c r="E32" s="53"/>
      <c r="F32" s="53"/>
      <c r="G32" s="54"/>
      <c r="H32" s="35"/>
    </row>
    <row r="33" spans="1:8" ht="12.75">
      <c r="A33" s="9" t="s">
        <v>25</v>
      </c>
      <c r="B33" s="44">
        <v>15597</v>
      </c>
      <c r="C33" s="10">
        <v>0</v>
      </c>
      <c r="D33" s="10">
        <v>80</v>
      </c>
      <c r="E33" s="44">
        <v>80</v>
      </c>
      <c r="F33" s="44">
        <v>78</v>
      </c>
      <c r="G33" s="45">
        <f t="shared" si="0"/>
        <v>97.5</v>
      </c>
      <c r="H33" s="35">
        <f>F33/B33*100</f>
        <v>0.5000961723408348</v>
      </c>
    </row>
    <row r="34" spans="1:8" ht="12.75">
      <c r="A34" s="9" t="s">
        <v>26</v>
      </c>
      <c r="B34" s="44">
        <v>471508</v>
      </c>
      <c r="C34" s="10">
        <v>221209</v>
      </c>
      <c r="D34" s="10">
        <v>366938</v>
      </c>
      <c r="E34" s="10">
        <v>415802</v>
      </c>
      <c r="F34" s="44">
        <v>250679</v>
      </c>
      <c r="G34" s="45">
        <f t="shared" si="0"/>
        <v>68.31644583008574</v>
      </c>
      <c r="H34" s="35">
        <f>F34/B34*100</f>
        <v>53.16537577305157</v>
      </c>
    </row>
    <row r="35" spans="1:8" ht="12.75">
      <c r="A35" s="13" t="s">
        <v>27</v>
      </c>
      <c r="B35" s="55">
        <v>1686</v>
      </c>
      <c r="C35" s="14">
        <v>0</v>
      </c>
      <c r="D35" s="14"/>
      <c r="E35" s="55"/>
      <c r="F35" s="55"/>
      <c r="G35" s="56" t="e">
        <f t="shared" si="0"/>
        <v>#DIV/0!</v>
      </c>
      <c r="H35" s="34"/>
    </row>
    <row r="36" spans="1:8" ht="12.75">
      <c r="A36" s="4"/>
      <c r="B36" s="12"/>
      <c r="C36" s="12"/>
      <c r="D36" s="12"/>
      <c r="E36" s="57"/>
      <c r="F36" s="58"/>
      <c r="G36" s="59"/>
      <c r="H36" s="36"/>
    </row>
    <row r="37" spans="1:8" ht="12.75">
      <c r="A37" s="7" t="s">
        <v>28</v>
      </c>
      <c r="B37" s="8">
        <f>B39+B42+B43+B44+B45</f>
        <v>7440034</v>
      </c>
      <c r="C37" s="8">
        <f>C39+C42+C43+B44+C45</f>
        <v>7522550</v>
      </c>
      <c r="D37" s="8">
        <f>D39+D42+D43+C44+D45</f>
        <v>7726274</v>
      </c>
      <c r="E37" s="8">
        <f>E39+E42+E43+C44+E45</f>
        <v>7743137</v>
      </c>
      <c r="F37" s="8">
        <f>F39+F42+F43+E44+F45</f>
        <v>7732931</v>
      </c>
      <c r="G37" s="60">
        <f t="shared" si="0"/>
        <v>100.08616054776209</v>
      </c>
      <c r="H37" s="34">
        <f>F37/B37*100</f>
        <v>103.93676964379463</v>
      </c>
    </row>
    <row r="38" spans="1:8" ht="12.75">
      <c r="A38" s="9" t="s">
        <v>24</v>
      </c>
      <c r="B38" s="10"/>
      <c r="C38" s="10"/>
      <c r="D38" s="10"/>
      <c r="E38" s="51"/>
      <c r="F38" s="51"/>
      <c r="G38" s="52"/>
      <c r="H38" s="35"/>
    </row>
    <row r="39" spans="1:8" ht="12.75">
      <c r="A39" s="15" t="s">
        <v>29</v>
      </c>
      <c r="B39" s="16">
        <f>B40+B41</f>
        <v>4512127</v>
      </c>
      <c r="C39" s="16">
        <f>C40+C41</f>
        <v>4655569</v>
      </c>
      <c r="D39" s="16">
        <f>D40+D41</f>
        <v>4722681</v>
      </c>
      <c r="E39" s="16">
        <f>E40+E41</f>
        <v>4722681</v>
      </c>
      <c r="F39" s="16">
        <f>F40+F41</f>
        <v>4722672</v>
      </c>
      <c r="G39" s="27">
        <f t="shared" si="0"/>
        <v>99.99980943027911</v>
      </c>
      <c r="H39" s="35">
        <f aca="true" t="shared" si="2" ref="H39:H58">F39/B39*100</f>
        <v>104.66620287948456</v>
      </c>
    </row>
    <row r="40" spans="1:8" ht="12.75">
      <c r="A40" s="9" t="s">
        <v>30</v>
      </c>
      <c r="B40" s="61">
        <v>4498551</v>
      </c>
      <c r="C40" s="10">
        <v>4643363</v>
      </c>
      <c r="D40" s="10">
        <v>4709224</v>
      </c>
      <c r="E40" s="61">
        <v>4709224</v>
      </c>
      <c r="F40" s="61">
        <v>4709221</v>
      </c>
      <c r="G40" s="45">
        <f t="shared" si="0"/>
        <v>99.99993629523675</v>
      </c>
      <c r="H40" s="35">
        <f t="shared" si="2"/>
        <v>104.68306350200321</v>
      </c>
    </row>
    <row r="41" spans="1:8" ht="12.75">
      <c r="A41" s="9" t="s">
        <v>48</v>
      </c>
      <c r="B41" s="61">
        <v>13576</v>
      </c>
      <c r="C41" s="10">
        <v>12206</v>
      </c>
      <c r="D41" s="10">
        <v>13457</v>
      </c>
      <c r="E41" s="61">
        <v>13457</v>
      </c>
      <c r="F41" s="61">
        <v>13451</v>
      </c>
      <c r="G41" s="45">
        <f t="shared" si="0"/>
        <v>99.95541353942187</v>
      </c>
      <c r="H41" s="35">
        <f t="shared" si="2"/>
        <v>99.0792575132587</v>
      </c>
    </row>
    <row r="42" spans="1:8" ht="12.75">
      <c r="A42" s="19" t="s">
        <v>31</v>
      </c>
      <c r="B42" s="62">
        <v>1579241</v>
      </c>
      <c r="C42" s="20">
        <v>1582886</v>
      </c>
      <c r="D42" s="20">
        <v>1597999</v>
      </c>
      <c r="E42" s="62">
        <v>1597999</v>
      </c>
      <c r="F42" s="62">
        <v>1597429</v>
      </c>
      <c r="G42" s="27">
        <f t="shared" si="0"/>
        <v>99.96433039069487</v>
      </c>
      <c r="H42" s="35">
        <f t="shared" si="2"/>
        <v>101.15169249025323</v>
      </c>
    </row>
    <row r="43" spans="1:8" ht="12.75">
      <c r="A43" s="19" t="s">
        <v>32</v>
      </c>
      <c r="B43" s="62">
        <v>89996</v>
      </c>
      <c r="C43" s="20">
        <v>92867</v>
      </c>
      <c r="D43" s="20">
        <v>94213</v>
      </c>
      <c r="E43" s="62">
        <v>94213</v>
      </c>
      <c r="F43" s="62">
        <v>94190</v>
      </c>
      <c r="G43" s="27">
        <f t="shared" si="0"/>
        <v>99.97558723318438</v>
      </c>
      <c r="H43" s="35">
        <f t="shared" si="2"/>
        <v>104.66020712031646</v>
      </c>
    </row>
    <row r="44" spans="1:8" ht="12.75">
      <c r="A44" s="15" t="s">
        <v>49</v>
      </c>
      <c r="B44" s="62">
        <v>0</v>
      </c>
      <c r="C44" s="16">
        <v>0</v>
      </c>
      <c r="D44" s="16">
        <v>0</v>
      </c>
      <c r="E44" s="62">
        <v>0</v>
      </c>
      <c r="F44" s="62">
        <v>0</v>
      </c>
      <c r="G44" s="27" t="e">
        <f t="shared" si="0"/>
        <v>#DIV/0!</v>
      </c>
      <c r="H44" s="35" t="e">
        <f t="shared" si="2"/>
        <v>#DIV/0!</v>
      </c>
    </row>
    <row r="45" spans="1:8" ht="12.75">
      <c r="A45" s="15" t="s">
        <v>33</v>
      </c>
      <c r="B45" s="16">
        <f>B47+B48+B49+B51+B55</f>
        <v>1258670</v>
      </c>
      <c r="C45" s="16">
        <f>C47+C48+C49+C51+C55</f>
        <v>1191228</v>
      </c>
      <c r="D45" s="16">
        <f>D47+D48+D49+D51+D55</f>
        <v>1311381</v>
      </c>
      <c r="E45" s="75">
        <f>E47+E48+E49+E51+E55</f>
        <v>1328244</v>
      </c>
      <c r="F45" s="16">
        <f>F47+F48+F49+F51+F55</f>
        <v>1318640</v>
      </c>
      <c r="G45" s="27">
        <f t="shared" si="0"/>
        <v>100.5535385978598</v>
      </c>
      <c r="H45" s="35">
        <f t="shared" si="2"/>
        <v>104.76455305997601</v>
      </c>
    </row>
    <row r="46" spans="1:8" ht="12.75">
      <c r="A46" s="9" t="s">
        <v>34</v>
      </c>
      <c r="B46" s="10"/>
      <c r="C46" s="10"/>
      <c r="D46" s="10"/>
      <c r="E46" s="76"/>
      <c r="F46" s="61"/>
      <c r="G46" s="63"/>
      <c r="H46" s="35"/>
    </row>
    <row r="47" spans="1:8" ht="12.75">
      <c r="A47" s="9" t="s">
        <v>35</v>
      </c>
      <c r="B47" s="61">
        <v>219724</v>
      </c>
      <c r="C47" s="10">
        <v>180987</v>
      </c>
      <c r="D47" s="10">
        <v>247595</v>
      </c>
      <c r="E47" s="76">
        <v>249006</v>
      </c>
      <c r="F47" s="76">
        <v>247776</v>
      </c>
      <c r="G47" s="45">
        <f t="shared" si="0"/>
        <v>100.07310325329672</v>
      </c>
      <c r="H47" s="35">
        <f t="shared" si="2"/>
        <v>112.76692577961443</v>
      </c>
    </row>
    <row r="48" spans="1:8" ht="12.75">
      <c r="A48" s="9" t="s">
        <v>36</v>
      </c>
      <c r="B48" s="61">
        <v>191093</v>
      </c>
      <c r="C48" s="10">
        <v>190107</v>
      </c>
      <c r="D48" s="10">
        <v>206966</v>
      </c>
      <c r="E48" s="76">
        <v>206966</v>
      </c>
      <c r="F48" s="61">
        <v>206910</v>
      </c>
      <c r="G48" s="45">
        <f t="shared" si="0"/>
        <v>99.97294241566249</v>
      </c>
      <c r="H48" s="35">
        <f t="shared" si="2"/>
        <v>108.27712161094337</v>
      </c>
    </row>
    <row r="49" spans="1:8" ht="12.75">
      <c r="A49" s="9" t="s">
        <v>37</v>
      </c>
      <c r="B49" s="61">
        <v>661792</v>
      </c>
      <c r="C49" s="10">
        <v>668150</v>
      </c>
      <c r="D49" s="10">
        <v>658189</v>
      </c>
      <c r="E49" s="76">
        <v>662595</v>
      </c>
      <c r="F49" s="61">
        <v>656933</v>
      </c>
      <c r="G49" s="45">
        <f t="shared" si="0"/>
        <v>99.8091733529427</v>
      </c>
      <c r="H49" s="35">
        <f t="shared" si="2"/>
        <v>99.26578139354963</v>
      </c>
    </row>
    <row r="50" spans="1:8" ht="12.75">
      <c r="A50" s="9" t="s">
        <v>38</v>
      </c>
      <c r="B50" s="61">
        <v>134912</v>
      </c>
      <c r="C50" s="10">
        <v>140366</v>
      </c>
      <c r="D50" s="10">
        <v>147116</v>
      </c>
      <c r="E50" s="76">
        <v>147116</v>
      </c>
      <c r="F50" s="61">
        <v>145221</v>
      </c>
      <c r="G50" s="45">
        <f t="shared" si="0"/>
        <v>98.71190081296392</v>
      </c>
      <c r="H50" s="35">
        <f t="shared" si="2"/>
        <v>107.64127727703985</v>
      </c>
    </row>
    <row r="51" spans="1:8" ht="12.75">
      <c r="A51" s="9" t="s">
        <v>39</v>
      </c>
      <c r="B51" s="61">
        <v>172178</v>
      </c>
      <c r="C51" s="10">
        <v>144017</v>
      </c>
      <c r="D51" s="10">
        <v>178531</v>
      </c>
      <c r="E51" s="76">
        <v>184835</v>
      </c>
      <c r="F51" s="61">
        <v>183254</v>
      </c>
      <c r="G51" s="45">
        <f t="shared" si="0"/>
        <v>102.64547893643122</v>
      </c>
      <c r="H51" s="35">
        <f t="shared" si="2"/>
        <v>106.43287760341042</v>
      </c>
    </row>
    <row r="52" spans="1:8" ht="12.75">
      <c r="A52" s="9" t="s">
        <v>40</v>
      </c>
      <c r="B52" s="61">
        <v>119413</v>
      </c>
      <c r="C52" s="10">
        <v>91779</v>
      </c>
      <c r="D52" s="10">
        <v>128923</v>
      </c>
      <c r="E52" s="76">
        <v>131327</v>
      </c>
      <c r="F52" s="61">
        <v>129974</v>
      </c>
      <c r="G52" s="45">
        <f t="shared" si="0"/>
        <v>100.81521528354133</v>
      </c>
      <c r="H52" s="35">
        <f t="shared" si="2"/>
        <v>108.84409570147304</v>
      </c>
    </row>
    <row r="53" spans="1:8" ht="12.75">
      <c r="A53" s="9" t="s">
        <v>41</v>
      </c>
      <c r="B53" s="61">
        <v>20883</v>
      </c>
      <c r="C53" s="10">
        <v>19724</v>
      </c>
      <c r="D53" s="10">
        <v>18904</v>
      </c>
      <c r="E53" s="76">
        <f>18904+3900</f>
        <v>22804</v>
      </c>
      <c r="F53" s="61">
        <v>22646</v>
      </c>
      <c r="G53" s="45">
        <f t="shared" si="0"/>
        <v>119.79475243334743</v>
      </c>
      <c r="H53" s="35">
        <f t="shared" si="2"/>
        <v>108.44227361969065</v>
      </c>
    </row>
    <row r="54" spans="1:8" ht="12.75">
      <c r="A54" s="9" t="s">
        <v>42</v>
      </c>
      <c r="B54" s="61">
        <v>29039</v>
      </c>
      <c r="C54" s="10">
        <v>29492</v>
      </c>
      <c r="D54" s="10">
        <v>28095</v>
      </c>
      <c r="E54" s="76">
        <v>28095</v>
      </c>
      <c r="F54" s="61">
        <v>28054</v>
      </c>
      <c r="G54" s="45">
        <f t="shared" si="0"/>
        <v>99.8540665598861</v>
      </c>
      <c r="H54" s="35">
        <f t="shared" si="2"/>
        <v>96.60800991769689</v>
      </c>
    </row>
    <row r="55" spans="1:8" ht="13.5" thickBot="1">
      <c r="A55" s="32" t="s">
        <v>43</v>
      </c>
      <c r="B55" s="33">
        <v>13883</v>
      </c>
      <c r="C55" s="33">
        <f>1068+6218+451+230</f>
        <v>7967</v>
      </c>
      <c r="D55" s="33">
        <v>20100</v>
      </c>
      <c r="E55" s="77">
        <v>24842</v>
      </c>
      <c r="F55" s="77">
        <v>23767</v>
      </c>
      <c r="G55" s="64">
        <f t="shared" si="0"/>
        <v>118.24378109452735</v>
      </c>
      <c r="H55" s="37">
        <f t="shared" si="2"/>
        <v>171.1949866743499</v>
      </c>
    </row>
    <row r="56" spans="1:8" ht="12.75">
      <c r="A56" s="9" t="s">
        <v>44</v>
      </c>
      <c r="B56" s="10">
        <v>15379</v>
      </c>
      <c r="C56" s="10">
        <v>15598</v>
      </c>
      <c r="D56" s="10">
        <v>15598</v>
      </c>
      <c r="E56" s="10">
        <v>15598</v>
      </c>
      <c r="F56" s="10">
        <v>15330</v>
      </c>
      <c r="G56" s="45">
        <f t="shared" si="0"/>
        <v>98.28183100397487</v>
      </c>
      <c r="H56" s="35">
        <f t="shared" si="2"/>
        <v>99.68138370505234</v>
      </c>
    </row>
    <row r="57" spans="1:8" ht="12.75">
      <c r="A57" s="9" t="s">
        <v>45</v>
      </c>
      <c r="B57" s="10">
        <f>B40/B56/12*1000</f>
        <v>24376.04850770531</v>
      </c>
      <c r="C57" s="10">
        <f>C40/C56/12*1000</f>
        <v>24807.469974783093</v>
      </c>
      <c r="D57" s="10">
        <f>D40/D56/12*1000</f>
        <v>25159.33666709407</v>
      </c>
      <c r="E57" s="10">
        <f>E40/E56/12*1000</f>
        <v>25159.33666709407</v>
      </c>
      <c r="F57" s="10">
        <f>F40/F56/12*1000</f>
        <v>25599.15742552729</v>
      </c>
      <c r="G57" s="45">
        <f t="shared" si="0"/>
        <v>101.74814131331395</v>
      </c>
      <c r="H57" s="35">
        <f t="shared" si="2"/>
        <v>105.0176669013247</v>
      </c>
    </row>
    <row r="58" spans="1:8" ht="13.5" thickBot="1">
      <c r="A58" s="5" t="s">
        <v>46</v>
      </c>
      <c r="B58" s="11">
        <f>B45/B56*1000</f>
        <v>81843.42284934002</v>
      </c>
      <c r="C58" s="11">
        <f>C45/C56*1000</f>
        <v>76370.56032824721</v>
      </c>
      <c r="D58" s="11">
        <f>D45/D56*1000</f>
        <v>84073.6632901654</v>
      </c>
      <c r="E58" s="11">
        <f>E45/E56*1000</f>
        <v>85154.76343120914</v>
      </c>
      <c r="F58" s="11">
        <f>F45/F56*1000</f>
        <v>86016.96020874103</v>
      </c>
      <c r="G58" s="65">
        <f t="shared" si="0"/>
        <v>102.3114217253371</v>
      </c>
      <c r="H58" s="47">
        <f t="shared" si="2"/>
        <v>105.09941692820423</v>
      </c>
    </row>
  </sheetData>
  <mergeCells count="1">
    <mergeCell ref="C4:G4"/>
  </mergeCells>
  <printOptions/>
  <pageMargins left="0.3937007874015748" right="0" top="1.1811023622047245" bottom="0.3937007874015748" header="0.5118110236220472" footer="0.5118110236220472"/>
  <pageSetup horizontalDpi="600" verticalDpi="600" orientation="portrait" paperSize="9" scale="90" r:id="rId1"/>
  <headerFooter alignWithMargins="0">
    <oddHeader>&amp;RPříloha č. 1 k č.j. 48/16 511/2010-482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E33"/>
  <sheetViews>
    <sheetView workbookViewId="0" topLeftCell="A1">
      <selection activeCell="A8" sqref="A8"/>
    </sheetView>
  </sheetViews>
  <sheetFormatPr defaultColWidth="9.125" defaultRowHeight="12.75"/>
  <cols>
    <col min="1" max="1" width="35.75390625" style="0" customWidth="1"/>
    <col min="2" max="5" width="15.75390625" style="0" customWidth="1"/>
  </cols>
  <sheetData>
    <row r="4" spans="1:5" ht="18">
      <c r="A4" s="1026" t="s">
        <v>352</v>
      </c>
      <c r="B4" s="1026"/>
      <c r="C4" s="1026"/>
      <c r="D4" s="1026"/>
      <c r="E4" s="1026"/>
    </row>
    <row r="5" spans="1:5" ht="12.75">
      <c r="A5" s="1027" t="s">
        <v>353</v>
      </c>
      <c r="B5" s="1027"/>
      <c r="C5" s="1027"/>
      <c r="D5" s="1027"/>
      <c r="E5" s="1027"/>
    </row>
    <row r="6" spans="1:5" ht="13.5" thickBot="1">
      <c r="A6" s="1028" t="s">
        <v>334</v>
      </c>
      <c r="B6" s="1028"/>
      <c r="C6" s="1028"/>
      <c r="D6" s="1028"/>
      <c r="E6" s="1028"/>
    </row>
    <row r="7" spans="1:5" ht="26.25" thickBot="1">
      <c r="A7" s="856" t="s">
        <v>354</v>
      </c>
      <c r="B7" s="857" t="s">
        <v>336</v>
      </c>
      <c r="C7" s="857" t="s">
        <v>337</v>
      </c>
      <c r="D7" s="858" t="s">
        <v>338</v>
      </c>
      <c r="E7" s="859" t="s">
        <v>339</v>
      </c>
    </row>
    <row r="8" spans="1:5" ht="12.75">
      <c r="A8" s="860" t="s">
        <v>355</v>
      </c>
      <c r="B8" s="861">
        <v>469655270.2497</v>
      </c>
      <c r="C8" s="861">
        <v>470240338.40679</v>
      </c>
      <c r="D8" s="1029"/>
      <c r="E8" s="1030"/>
    </row>
    <row r="9" spans="1:5" ht="12.75">
      <c r="A9" s="862" t="s">
        <v>356</v>
      </c>
      <c r="B9" s="863">
        <v>-212601792.15719</v>
      </c>
      <c r="C9" s="863">
        <v>-216776595.89477</v>
      </c>
      <c r="D9" s="1023"/>
      <c r="E9" s="1025"/>
    </row>
    <row r="10" spans="1:5" ht="12.75">
      <c r="A10" s="864" t="s">
        <v>357</v>
      </c>
      <c r="B10" s="865">
        <v>257053478.09251</v>
      </c>
      <c r="C10" s="865">
        <v>253463742.51202</v>
      </c>
      <c r="D10" s="866">
        <v>48018592.50497</v>
      </c>
      <c r="E10" s="867">
        <v>15329938.62147</v>
      </c>
    </row>
    <row r="11" spans="1:5" ht="12.75">
      <c r="A11" s="862" t="s">
        <v>358</v>
      </c>
      <c r="B11" s="863">
        <v>-4783456.2583</v>
      </c>
      <c r="C11" s="863">
        <v>30201.09967</v>
      </c>
      <c r="D11" s="1022"/>
      <c r="E11" s="1024"/>
    </row>
    <row r="12" spans="1:5" ht="12.75">
      <c r="A12" s="868" t="s">
        <v>359</v>
      </c>
      <c r="B12" s="863">
        <v>-0.965</v>
      </c>
      <c r="C12" s="863">
        <v>-2386.10365</v>
      </c>
      <c r="D12" s="1023"/>
      <c r="E12" s="1025"/>
    </row>
    <row r="13" spans="1:5" ht="12.75">
      <c r="A13" s="864" t="s">
        <v>360</v>
      </c>
      <c r="B13" s="865">
        <v>-4783465.9083</v>
      </c>
      <c r="C13" s="865">
        <v>27814.99602</v>
      </c>
      <c r="D13" s="866">
        <v>1560408.92877</v>
      </c>
      <c r="E13" s="867">
        <v>78.63868</v>
      </c>
    </row>
    <row r="14" spans="1:5" ht="12.75">
      <c r="A14" s="862" t="s">
        <v>361</v>
      </c>
      <c r="B14" s="863">
        <v>107994972.64159</v>
      </c>
      <c r="C14" s="863">
        <v>110542667.60663</v>
      </c>
      <c r="D14" s="866">
        <v>16667744.14029</v>
      </c>
      <c r="E14" s="867">
        <v>7363907.0423</v>
      </c>
    </row>
    <row r="15" spans="1:5" ht="12.75">
      <c r="A15" s="862" t="s">
        <v>362</v>
      </c>
      <c r="B15" s="863">
        <v>18972497.055</v>
      </c>
      <c r="C15" s="863">
        <v>19189424.23486</v>
      </c>
      <c r="D15" s="866">
        <v>303571.9179</v>
      </c>
      <c r="E15" s="867">
        <v>1813159.84285</v>
      </c>
    </row>
    <row r="16" spans="1:5" ht="12.75">
      <c r="A16" s="862" t="s">
        <v>363</v>
      </c>
      <c r="B16" s="863">
        <v>4949543.22611</v>
      </c>
      <c r="C16" s="863">
        <v>4795162.70186</v>
      </c>
      <c r="D16" s="866">
        <v>1249469.02305</v>
      </c>
      <c r="E16" s="867">
        <v>612056.47236</v>
      </c>
    </row>
    <row r="17" spans="1:5" ht="12.75">
      <c r="A17" s="862" t="s">
        <v>364</v>
      </c>
      <c r="B17" s="863">
        <v>86064.2989</v>
      </c>
      <c r="C17" s="863">
        <v>87539.87102</v>
      </c>
      <c r="D17" s="866">
        <v>9923.82376</v>
      </c>
      <c r="E17" s="867">
        <v>4870.41774</v>
      </c>
    </row>
    <row r="18" spans="1:5" ht="12.75">
      <c r="A18" s="862" t="s">
        <v>365</v>
      </c>
      <c r="B18" s="863">
        <v>157248.65666</v>
      </c>
      <c r="C18" s="863">
        <v>161951.93757</v>
      </c>
      <c r="D18" s="866">
        <v>170534.40075</v>
      </c>
      <c r="E18" s="867">
        <v>14634.54292</v>
      </c>
    </row>
    <row r="19" spans="1:5" ht="12.75">
      <c r="A19" s="862" t="s">
        <v>366</v>
      </c>
      <c r="B19" s="863">
        <v>7935701.94364</v>
      </c>
      <c r="C19" s="863">
        <v>7809131.98028</v>
      </c>
      <c r="D19" s="866">
        <v>3503245.33037</v>
      </c>
      <c r="E19" s="867">
        <v>1757144.25181</v>
      </c>
    </row>
    <row r="20" spans="1:5" ht="12.75">
      <c r="A20" s="862" t="s">
        <v>367</v>
      </c>
      <c r="B20" s="863">
        <v>2618181.04078</v>
      </c>
      <c r="C20" s="863">
        <v>5564987.66914</v>
      </c>
      <c r="D20" s="863">
        <v>14339930.81465</v>
      </c>
      <c r="E20" s="869">
        <v>5079618.70499</v>
      </c>
    </row>
    <row r="21" spans="1:5" ht="12.75">
      <c r="A21" s="862" t="s">
        <v>368</v>
      </c>
      <c r="B21" s="863">
        <v>110616005.10058</v>
      </c>
      <c r="C21" s="863">
        <v>111042464.34856</v>
      </c>
      <c r="D21" s="863">
        <v>4099093.77477</v>
      </c>
      <c r="E21" s="869">
        <v>5428994.69736</v>
      </c>
    </row>
    <row r="22" spans="1:5" ht="12.75">
      <c r="A22" s="862" t="s">
        <v>369</v>
      </c>
      <c r="B22" s="863">
        <v>6317863.69592</v>
      </c>
      <c r="C22" s="863">
        <v>6360549.09446</v>
      </c>
      <c r="D22" s="863">
        <v>902497.81471</v>
      </c>
      <c r="E22" s="869">
        <v>198013.69266</v>
      </c>
    </row>
    <row r="23" spans="1:5" ht="12.75">
      <c r="A23" s="862" t="s">
        <v>370</v>
      </c>
      <c r="B23" s="863">
        <v>2487552.15354</v>
      </c>
      <c r="C23" s="863">
        <v>3783650.66187</v>
      </c>
      <c r="D23" s="863">
        <v>5323566.40723</v>
      </c>
      <c r="E23" s="869">
        <v>526945.27633</v>
      </c>
    </row>
    <row r="24" spans="1:5" ht="12.75">
      <c r="A24" s="864" t="s">
        <v>371</v>
      </c>
      <c r="B24" s="865">
        <v>518710761.3144</v>
      </c>
      <c r="C24" s="865">
        <v>522829087.61429</v>
      </c>
      <c r="D24" s="870">
        <v>96148578.88122</v>
      </c>
      <c r="E24" s="871">
        <v>38129362.20147</v>
      </c>
    </row>
    <row r="25" spans="1:5" ht="12.75">
      <c r="A25" s="862" t="s">
        <v>372</v>
      </c>
      <c r="B25" s="863">
        <v>-19264.33034</v>
      </c>
      <c r="C25" s="863">
        <v>1338.90023</v>
      </c>
      <c r="D25" s="866">
        <v>22574.96046</v>
      </c>
      <c r="E25" s="867">
        <v>467.57749</v>
      </c>
    </row>
    <row r="26" spans="1:5" ht="12.75">
      <c r="A26" s="862" t="s">
        <v>373</v>
      </c>
      <c r="B26" s="863">
        <v>-332410.72063</v>
      </c>
      <c r="C26" s="863">
        <v>16593.11776</v>
      </c>
      <c r="D26" s="866">
        <v>2276745.53055</v>
      </c>
      <c r="E26" s="867">
        <v>9199.20439</v>
      </c>
    </row>
    <row r="27" spans="1:5" ht="13.5" thickBot="1">
      <c r="A27" s="872" t="s">
        <v>374</v>
      </c>
      <c r="B27" s="873">
        <v>-351675.05097</v>
      </c>
      <c r="C27" s="873">
        <v>17932.01799</v>
      </c>
      <c r="D27" s="874">
        <v>2299320.49101</v>
      </c>
      <c r="E27" s="875">
        <v>9666.78188</v>
      </c>
    </row>
    <row r="28" spans="1:5" ht="15.75" thickBot="1">
      <c r="A28" s="876" t="s">
        <v>239</v>
      </c>
      <c r="B28" s="877">
        <v>518359086.26343</v>
      </c>
      <c r="C28" s="877">
        <v>522847019.63228</v>
      </c>
      <c r="D28" s="878">
        <v>98447899.37223</v>
      </c>
      <c r="E28" s="879">
        <v>38139028.98335</v>
      </c>
    </row>
    <row r="29" spans="1:5" ht="12.75">
      <c r="A29" s="880"/>
      <c r="B29" s="881"/>
      <c r="C29" s="881"/>
      <c r="D29" s="882"/>
      <c r="E29" s="882"/>
    </row>
    <row r="30" spans="1:5" ht="12.75">
      <c r="A30" s="880"/>
      <c r="B30" s="881"/>
      <c r="C30" s="881"/>
      <c r="D30" s="882"/>
      <c r="E30" s="882"/>
    </row>
    <row r="31" spans="1:5" ht="12.75">
      <c r="A31" s="880"/>
      <c r="B31" s="881"/>
      <c r="C31" s="881"/>
      <c r="D31" s="882"/>
      <c r="E31" s="882"/>
    </row>
    <row r="32" spans="1:5" ht="12.75">
      <c r="A32" s="880"/>
      <c r="B32" s="881"/>
      <c r="C32" s="881"/>
      <c r="D32" s="882"/>
      <c r="E32" s="882"/>
    </row>
    <row r="33" spans="1:5" ht="12.75">
      <c r="A33" s="883"/>
      <c r="B33" s="883"/>
      <c r="C33" s="883"/>
      <c r="D33" s="883"/>
      <c r="E33" s="883"/>
    </row>
  </sheetData>
  <mergeCells count="7">
    <mergeCell ref="D11:D12"/>
    <mergeCell ref="E11:E12"/>
    <mergeCell ref="A4:E4"/>
    <mergeCell ref="A5:E5"/>
    <mergeCell ref="A6:E6"/>
    <mergeCell ref="D8:D9"/>
    <mergeCell ref="E8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&amp;RPříloha č. 10 k č.j. 48/16 511/2010-482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75" zoomScaleNormal="75" workbookViewId="0" topLeftCell="A1">
      <selection activeCell="G3" sqref="G3"/>
    </sheetView>
  </sheetViews>
  <sheetFormatPr defaultColWidth="9.125" defaultRowHeight="12.75"/>
  <cols>
    <col min="1" max="1" width="8.00390625" style="884" customWidth="1"/>
    <col min="2" max="2" width="3.125" style="884" customWidth="1"/>
    <col min="3" max="3" width="8.125" style="884" customWidth="1"/>
    <col min="4" max="4" width="7.75390625" style="884" customWidth="1"/>
    <col min="5" max="5" width="8.25390625" style="884" customWidth="1"/>
    <col min="6" max="6" width="55.75390625" style="884" customWidth="1"/>
    <col min="7" max="7" width="12.875" style="884" customWidth="1"/>
    <col min="8" max="8" width="13.875" style="884" customWidth="1"/>
    <col min="9" max="9" width="11.875" style="884" customWidth="1"/>
    <col min="10" max="10" width="7.375" style="884" customWidth="1"/>
    <col min="11" max="11" width="11.375" style="884" customWidth="1"/>
    <col min="12" max="12" width="12.875" style="884" customWidth="1"/>
    <col min="13" max="13" width="12.00390625" style="884" customWidth="1"/>
    <col min="14" max="14" width="8.00390625" style="884" customWidth="1"/>
    <col min="15" max="15" width="12.375" style="884" customWidth="1"/>
    <col min="16" max="16" width="13.00390625" style="884" customWidth="1"/>
    <col min="17" max="17" width="12.25390625" style="884" customWidth="1"/>
    <col min="18" max="16384" width="7.875" style="884" customWidth="1"/>
  </cols>
  <sheetData>
    <row r="1" spans="17:18" ht="18.75">
      <c r="Q1" s="885" t="s">
        <v>375</v>
      </c>
      <c r="R1" s="886"/>
    </row>
    <row r="2" spans="1:18" s="890" customFormat="1" ht="22.5" customHeight="1">
      <c r="A2" s="1033" t="s">
        <v>376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888"/>
      <c r="R2" s="889"/>
    </row>
    <row r="3" spans="1:18" s="890" customFormat="1" ht="22.5" customHeight="1">
      <c r="A3" s="918" t="s">
        <v>377</v>
      </c>
      <c r="B3" s="887"/>
      <c r="C3" s="919" t="s">
        <v>401</v>
      </c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8"/>
      <c r="R3" s="889"/>
    </row>
    <row r="4" spans="1:18" ht="31.5" customHeight="1" thickBot="1">
      <c r="A4" s="891" t="s">
        <v>378</v>
      </c>
      <c r="B4" s="891"/>
      <c r="C4" s="920">
        <v>312</v>
      </c>
      <c r="G4" s="892"/>
      <c r="Q4" s="893" t="s">
        <v>379</v>
      </c>
      <c r="R4" s="894"/>
    </row>
    <row r="5" spans="1:18" s="932" customFormat="1" ht="30" customHeight="1" thickBot="1">
      <c r="A5" s="925" t="s">
        <v>380</v>
      </c>
      <c r="B5" s="926"/>
      <c r="C5" s="927"/>
      <c r="D5" s="928"/>
      <c r="E5" s="928"/>
      <c r="F5" s="929"/>
      <c r="G5" s="1043" t="s">
        <v>381</v>
      </c>
      <c r="H5" s="1044"/>
      <c r="I5" s="1044"/>
      <c r="J5" s="1045"/>
      <c r="K5" s="931" t="s">
        <v>382</v>
      </c>
      <c r="L5" s="926"/>
      <c r="M5" s="926"/>
      <c r="N5" s="930"/>
      <c r="O5" s="931" t="s">
        <v>383</v>
      </c>
      <c r="P5" s="926"/>
      <c r="Q5" s="926"/>
      <c r="R5" s="930"/>
    </row>
    <row r="6" spans="1:18" s="648" customFormat="1" ht="13.5" thickBot="1">
      <c r="A6" s="895" t="s">
        <v>175</v>
      </c>
      <c r="B6" s="896"/>
      <c r="C6" s="895" t="s">
        <v>384</v>
      </c>
      <c r="D6" s="896"/>
      <c r="E6" s="896"/>
      <c r="F6" s="897"/>
      <c r="G6" s="898" t="s">
        <v>385</v>
      </c>
      <c r="H6" s="954"/>
      <c r="I6" s="956" t="s">
        <v>386</v>
      </c>
      <c r="J6" s="955" t="s">
        <v>183</v>
      </c>
      <c r="K6" s="898" t="s">
        <v>387</v>
      </c>
      <c r="L6" s="954"/>
      <c r="M6" s="956" t="s">
        <v>386</v>
      </c>
      <c r="N6" s="955" t="s">
        <v>183</v>
      </c>
      <c r="O6" s="898" t="s">
        <v>385</v>
      </c>
      <c r="P6" s="899"/>
      <c r="Q6" s="956" t="s">
        <v>386</v>
      </c>
      <c r="R6" s="900" t="s">
        <v>183</v>
      </c>
    </row>
    <row r="7" spans="1:18" s="648" customFormat="1" ht="13.5" thickBot="1">
      <c r="A7" s="901" t="s">
        <v>388</v>
      </c>
      <c r="B7" s="902"/>
      <c r="C7" s="903"/>
      <c r="D7" s="904"/>
      <c r="E7" s="905"/>
      <c r="F7" s="906"/>
      <c r="G7" s="957" t="s">
        <v>4</v>
      </c>
      <c r="H7" s="958" t="s">
        <v>389</v>
      </c>
      <c r="I7" s="959"/>
      <c r="J7" s="906" t="s">
        <v>390</v>
      </c>
      <c r="K7" s="957" t="s">
        <v>4</v>
      </c>
      <c r="L7" s="958" t="s">
        <v>389</v>
      </c>
      <c r="M7" s="959"/>
      <c r="N7" s="906" t="s">
        <v>390</v>
      </c>
      <c r="O7" s="960" t="s">
        <v>4</v>
      </c>
      <c r="P7" s="961" t="s">
        <v>389</v>
      </c>
      <c r="Q7" s="959"/>
      <c r="R7" s="907" t="s">
        <v>390</v>
      </c>
    </row>
    <row r="8" spans="1:18" s="615" customFormat="1" ht="15">
      <c r="A8" s="1035">
        <v>112010</v>
      </c>
      <c r="B8" s="1036"/>
      <c r="C8" s="1037" t="s">
        <v>404</v>
      </c>
      <c r="D8" s="1038"/>
      <c r="E8" s="1038"/>
      <c r="F8" s="1039"/>
      <c r="G8" s="908">
        <v>202334</v>
      </c>
      <c r="H8" s="908">
        <v>198556</v>
      </c>
      <c r="I8" s="908">
        <v>223768</v>
      </c>
      <c r="J8" s="933">
        <f>I8/H8*100</f>
        <v>112.69767722959769</v>
      </c>
      <c r="K8" s="910">
        <v>325879</v>
      </c>
      <c r="L8" s="908">
        <v>541051</v>
      </c>
      <c r="M8" s="908">
        <v>541664</v>
      </c>
      <c r="N8" s="934">
        <f>M8/L8*100</f>
        <v>100.11329800702707</v>
      </c>
      <c r="O8" s="912">
        <f>G8+K8</f>
        <v>528213</v>
      </c>
      <c r="P8" s="917">
        <f aca="true" t="shared" si="0" ref="P8:Q14">H8+L8</f>
        <v>739607</v>
      </c>
      <c r="Q8" s="909">
        <f t="shared" si="0"/>
        <v>765432</v>
      </c>
      <c r="R8" s="935">
        <f>Q8/P8*100</f>
        <v>103.49171925089946</v>
      </c>
    </row>
    <row r="9" spans="1:18" s="615" customFormat="1" ht="15">
      <c r="A9" s="1031">
        <v>112090</v>
      </c>
      <c r="B9" s="1032"/>
      <c r="C9" s="1040" t="s">
        <v>406</v>
      </c>
      <c r="D9" s="1041"/>
      <c r="E9" s="1041"/>
      <c r="F9" s="1042"/>
      <c r="G9" s="908">
        <v>686554</v>
      </c>
      <c r="H9" s="908">
        <v>682986</v>
      </c>
      <c r="I9" s="908">
        <v>369893</v>
      </c>
      <c r="J9" s="933">
        <f aca="true" t="shared" si="1" ref="J9:J20">I9/H9*100</f>
        <v>54.158211149276845</v>
      </c>
      <c r="K9" s="910">
        <v>51413</v>
      </c>
      <c r="L9" s="908">
        <v>92182</v>
      </c>
      <c r="M9" s="908">
        <v>89652</v>
      </c>
      <c r="N9" s="934">
        <f aca="true" t="shared" si="2" ref="N9:N20">M9/L9*100</f>
        <v>97.25542947647045</v>
      </c>
      <c r="O9" s="912">
        <f aca="true" t="shared" si="3" ref="O9:O14">G9+K9</f>
        <v>737967</v>
      </c>
      <c r="P9" s="917">
        <f t="shared" si="0"/>
        <v>775168</v>
      </c>
      <c r="Q9" s="909">
        <f t="shared" si="0"/>
        <v>459545</v>
      </c>
      <c r="R9" s="935">
        <f aca="true" t="shared" si="4" ref="R9:R20">Q9/P9*100</f>
        <v>59.283277947490085</v>
      </c>
    </row>
    <row r="10" spans="1:18" s="615" customFormat="1" ht="15">
      <c r="A10" s="1031" t="s">
        <v>394</v>
      </c>
      <c r="B10" s="1032"/>
      <c r="C10" s="912" t="s">
        <v>391</v>
      </c>
      <c r="D10" s="909"/>
      <c r="E10" s="909"/>
      <c r="F10" s="911"/>
      <c r="G10" s="908">
        <v>289347</v>
      </c>
      <c r="H10" s="908">
        <v>431506</v>
      </c>
      <c r="I10" s="908">
        <v>363091</v>
      </c>
      <c r="J10" s="933">
        <f t="shared" si="1"/>
        <v>84.14506403155461</v>
      </c>
      <c r="K10" s="910">
        <v>426738</v>
      </c>
      <c r="L10" s="908">
        <v>420519</v>
      </c>
      <c r="M10" s="908">
        <v>409527</v>
      </c>
      <c r="N10" s="934">
        <f t="shared" si="2"/>
        <v>97.38608719225529</v>
      </c>
      <c r="O10" s="912">
        <f t="shared" si="3"/>
        <v>716085</v>
      </c>
      <c r="P10" s="917">
        <f t="shared" si="0"/>
        <v>852025</v>
      </c>
      <c r="Q10" s="909">
        <f t="shared" si="0"/>
        <v>772618</v>
      </c>
      <c r="R10" s="935">
        <f t="shared" si="4"/>
        <v>90.68020304568527</v>
      </c>
    </row>
    <row r="11" spans="1:18" s="615" customFormat="1" ht="15">
      <c r="A11" s="1031" t="s">
        <v>216</v>
      </c>
      <c r="B11" s="1032"/>
      <c r="C11" s="912" t="s">
        <v>392</v>
      </c>
      <c r="D11" s="909"/>
      <c r="E11" s="909"/>
      <c r="F11" s="911"/>
      <c r="G11" s="908">
        <v>71272</v>
      </c>
      <c r="H11" s="908">
        <v>54022</v>
      </c>
      <c r="I11" s="908">
        <v>142170</v>
      </c>
      <c r="J11" s="933">
        <f t="shared" si="1"/>
        <v>263.1705601421643</v>
      </c>
      <c r="K11" s="910"/>
      <c r="L11" s="908"/>
      <c r="M11" s="908"/>
      <c r="N11" s="934"/>
      <c r="O11" s="912">
        <f t="shared" si="3"/>
        <v>71272</v>
      </c>
      <c r="P11" s="917">
        <f t="shared" si="0"/>
        <v>54022</v>
      </c>
      <c r="Q11" s="909">
        <f t="shared" si="0"/>
        <v>142170</v>
      </c>
      <c r="R11" s="935">
        <f t="shared" si="4"/>
        <v>263.1705601421643</v>
      </c>
    </row>
    <row r="12" spans="1:18" s="615" customFormat="1" ht="15">
      <c r="A12" s="1031" t="s">
        <v>395</v>
      </c>
      <c r="B12" s="1032"/>
      <c r="C12" s="912" t="s">
        <v>398</v>
      </c>
      <c r="D12" s="909"/>
      <c r="E12" s="909"/>
      <c r="F12" s="911"/>
      <c r="G12" s="908">
        <v>225770</v>
      </c>
      <c r="H12" s="908">
        <v>183524</v>
      </c>
      <c r="I12" s="908">
        <v>156118</v>
      </c>
      <c r="J12" s="933">
        <f t="shared" si="1"/>
        <v>85.06680325189076</v>
      </c>
      <c r="K12" s="910">
        <v>156708</v>
      </c>
      <c r="L12" s="908">
        <v>184388</v>
      </c>
      <c r="M12" s="908">
        <v>185561</v>
      </c>
      <c r="N12" s="934">
        <f t="shared" si="2"/>
        <v>100.6361585352626</v>
      </c>
      <c r="O12" s="912">
        <f t="shared" si="3"/>
        <v>382478</v>
      </c>
      <c r="P12" s="917">
        <f t="shared" si="0"/>
        <v>367912</v>
      </c>
      <c r="Q12" s="909">
        <f t="shared" si="0"/>
        <v>341679</v>
      </c>
      <c r="R12" s="935">
        <f t="shared" si="4"/>
        <v>92.86976233447129</v>
      </c>
    </row>
    <row r="13" spans="1:18" s="924" customFormat="1" ht="33" customHeight="1">
      <c r="A13" s="1049" t="s">
        <v>396</v>
      </c>
      <c r="B13" s="1050"/>
      <c r="C13" s="1046" t="s">
        <v>399</v>
      </c>
      <c r="D13" s="1047"/>
      <c r="E13" s="1047"/>
      <c r="F13" s="1048"/>
      <c r="G13" s="921">
        <v>128600</v>
      </c>
      <c r="H13" s="921">
        <v>163321</v>
      </c>
      <c r="I13" s="921">
        <v>125132</v>
      </c>
      <c r="J13" s="946">
        <f t="shared" si="1"/>
        <v>76.61721395289032</v>
      </c>
      <c r="K13" s="923">
        <v>307421</v>
      </c>
      <c r="L13" s="921">
        <v>293720</v>
      </c>
      <c r="M13" s="921">
        <v>298496</v>
      </c>
      <c r="N13" s="947">
        <f t="shared" si="2"/>
        <v>101.62603840392211</v>
      </c>
      <c r="O13" s="948">
        <f t="shared" si="3"/>
        <v>436021</v>
      </c>
      <c r="P13" s="949">
        <f t="shared" si="0"/>
        <v>457041</v>
      </c>
      <c r="Q13" s="922">
        <f t="shared" si="0"/>
        <v>423628</v>
      </c>
      <c r="R13" s="950">
        <f t="shared" si="4"/>
        <v>92.689277329605</v>
      </c>
    </row>
    <row r="14" spans="1:18" s="615" customFormat="1" ht="15">
      <c r="A14" s="1031" t="s">
        <v>397</v>
      </c>
      <c r="B14" s="1032"/>
      <c r="C14" s="912" t="s">
        <v>400</v>
      </c>
      <c r="D14" s="909"/>
      <c r="E14" s="909"/>
      <c r="F14" s="911"/>
      <c r="G14" s="908">
        <v>22000</v>
      </c>
      <c r="H14" s="908">
        <v>21939</v>
      </c>
      <c r="I14" s="908">
        <v>20191</v>
      </c>
      <c r="J14" s="933">
        <f t="shared" si="1"/>
        <v>92.03245362140481</v>
      </c>
      <c r="K14" s="910">
        <v>26000</v>
      </c>
      <c r="L14" s="908">
        <v>26061</v>
      </c>
      <c r="M14" s="908">
        <v>27372</v>
      </c>
      <c r="N14" s="934">
        <f t="shared" si="2"/>
        <v>105.03050535282605</v>
      </c>
      <c r="O14" s="912">
        <f t="shared" si="3"/>
        <v>48000</v>
      </c>
      <c r="P14" s="917">
        <f t="shared" si="0"/>
        <v>48000</v>
      </c>
      <c r="Q14" s="909">
        <f t="shared" si="0"/>
        <v>47563</v>
      </c>
      <c r="R14" s="935">
        <f t="shared" si="4"/>
        <v>99.08958333333334</v>
      </c>
    </row>
    <row r="15" spans="1:18" s="615" customFormat="1" ht="15">
      <c r="A15" s="913"/>
      <c r="B15" s="914"/>
      <c r="C15" s="912"/>
      <c r="D15" s="909"/>
      <c r="E15" s="909"/>
      <c r="F15" s="911"/>
      <c r="G15" s="908"/>
      <c r="H15" s="908"/>
      <c r="I15" s="908"/>
      <c r="J15" s="933"/>
      <c r="K15" s="910"/>
      <c r="L15" s="908"/>
      <c r="M15" s="908"/>
      <c r="N15" s="934"/>
      <c r="O15" s="912"/>
      <c r="P15" s="917"/>
      <c r="Q15" s="909"/>
      <c r="R15" s="935"/>
    </row>
    <row r="16" spans="1:18" s="615" customFormat="1" ht="15">
      <c r="A16" s="913"/>
      <c r="B16" s="914"/>
      <c r="C16" s="912"/>
      <c r="D16" s="909"/>
      <c r="E16" s="909"/>
      <c r="F16" s="911"/>
      <c r="G16" s="908"/>
      <c r="H16" s="908"/>
      <c r="I16" s="908"/>
      <c r="J16" s="933"/>
      <c r="K16" s="910"/>
      <c r="L16" s="908"/>
      <c r="M16" s="908"/>
      <c r="N16" s="934"/>
      <c r="O16" s="912"/>
      <c r="P16" s="917"/>
      <c r="Q16" s="909"/>
      <c r="R16" s="935"/>
    </row>
    <row r="17" spans="1:18" s="615" customFormat="1" ht="15">
      <c r="A17" s="913"/>
      <c r="B17" s="914"/>
      <c r="C17" s="912"/>
      <c r="D17" s="909"/>
      <c r="E17" s="909"/>
      <c r="F17" s="911"/>
      <c r="G17" s="908"/>
      <c r="H17" s="908"/>
      <c r="I17" s="908"/>
      <c r="J17" s="933"/>
      <c r="K17" s="910"/>
      <c r="L17" s="908"/>
      <c r="M17" s="908"/>
      <c r="N17" s="934"/>
      <c r="O17" s="912"/>
      <c r="P17" s="917"/>
      <c r="Q17" s="909"/>
      <c r="R17" s="935"/>
    </row>
    <row r="18" spans="1:18" s="615" customFormat="1" ht="15">
      <c r="A18" s="913"/>
      <c r="B18" s="914"/>
      <c r="C18" s="912"/>
      <c r="D18" s="909"/>
      <c r="E18" s="909"/>
      <c r="F18" s="911"/>
      <c r="G18" s="908"/>
      <c r="H18" s="908"/>
      <c r="I18" s="908"/>
      <c r="J18" s="933"/>
      <c r="K18" s="910"/>
      <c r="L18" s="908"/>
      <c r="M18" s="908"/>
      <c r="N18" s="934"/>
      <c r="O18" s="912"/>
      <c r="P18" s="917"/>
      <c r="Q18" s="909"/>
      <c r="R18" s="935"/>
    </row>
    <row r="19" spans="1:18" s="615" customFormat="1" ht="15.75" thickBot="1">
      <c r="A19" s="913"/>
      <c r="B19" s="914"/>
      <c r="C19" s="912"/>
      <c r="D19" s="909"/>
      <c r="E19" s="909"/>
      <c r="F19" s="911"/>
      <c r="G19" s="908"/>
      <c r="H19" s="908"/>
      <c r="I19" s="908"/>
      <c r="J19" s="933"/>
      <c r="K19" s="910"/>
      <c r="L19" s="908"/>
      <c r="M19" s="908"/>
      <c r="N19" s="934"/>
      <c r="O19" s="912"/>
      <c r="P19" s="917"/>
      <c r="Q19" s="909"/>
      <c r="R19" s="935"/>
    </row>
    <row r="20" spans="1:18" s="615" customFormat="1" ht="16.5" thickBot="1">
      <c r="A20" s="936" t="s">
        <v>393</v>
      </c>
      <c r="B20" s="937"/>
      <c r="C20" s="938"/>
      <c r="D20" s="939"/>
      <c r="E20" s="939"/>
      <c r="F20" s="940"/>
      <c r="G20" s="941">
        <f>SUM(G8:G19)</f>
        <v>1625877</v>
      </c>
      <c r="H20" s="941">
        <f>SUM(H8:H19)</f>
        <v>1735854</v>
      </c>
      <c r="I20" s="941">
        <f>SUM(I8:I19)</f>
        <v>1400363</v>
      </c>
      <c r="J20" s="942">
        <f t="shared" si="1"/>
        <v>80.67285612730103</v>
      </c>
      <c r="K20" s="938">
        <f>SUM(K8:K19)</f>
        <v>1294159</v>
      </c>
      <c r="L20" s="944">
        <f>SUM(L8:L19)</f>
        <v>1557921</v>
      </c>
      <c r="M20" s="941">
        <f>SUM(M8:M19)</f>
        <v>1552272</v>
      </c>
      <c r="N20" s="943">
        <f t="shared" si="2"/>
        <v>99.63740138299696</v>
      </c>
      <c r="O20" s="938">
        <f>SUM(O8:O19)</f>
        <v>2920036</v>
      </c>
      <c r="P20" s="944">
        <f>SUM(P8:P19)</f>
        <v>3293775</v>
      </c>
      <c r="Q20" s="939">
        <f>SUM(Q8:Q19)</f>
        <v>2952635</v>
      </c>
      <c r="R20" s="945">
        <f t="shared" si="4"/>
        <v>89.64288696100978</v>
      </c>
    </row>
    <row r="21" spans="1:18" s="615" customFormat="1" ht="15.75">
      <c r="A21" s="915"/>
      <c r="B21" s="914"/>
      <c r="C21" s="909"/>
      <c r="D21" s="909"/>
      <c r="E21" s="909"/>
      <c r="F21" s="909"/>
      <c r="G21" s="909"/>
      <c r="H21" s="909"/>
      <c r="I21" s="909"/>
      <c r="J21" s="909"/>
      <c r="K21" s="909"/>
      <c r="L21" s="909"/>
      <c r="M21" s="909"/>
      <c r="N21" s="909"/>
      <c r="O21" s="909"/>
      <c r="P21" s="909"/>
      <c r="Q21" s="909"/>
      <c r="R21" s="909"/>
    </row>
    <row r="22" spans="1:18" s="615" customFormat="1" ht="15.75">
      <c r="A22" s="915"/>
      <c r="B22" s="914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</row>
    <row r="23" spans="1:18" s="615" customFormat="1" ht="15.75">
      <c r="A23" s="915"/>
      <c r="B23" s="914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</row>
    <row r="24" spans="1:16" s="615" customFormat="1" ht="15">
      <c r="A24" s="615" t="s">
        <v>403</v>
      </c>
      <c r="G24" s="615" t="s">
        <v>152</v>
      </c>
      <c r="H24" s="615" t="s">
        <v>405</v>
      </c>
      <c r="O24" s="615" t="s">
        <v>153</v>
      </c>
      <c r="P24" s="916">
        <v>40609</v>
      </c>
    </row>
    <row r="25" spans="1:7" s="615" customFormat="1" ht="15">
      <c r="A25" s="615" t="s">
        <v>154</v>
      </c>
      <c r="G25" s="615" t="s">
        <v>402</v>
      </c>
    </row>
    <row r="26" s="615" customFormat="1" ht="15"/>
    <row r="27" s="615" customFormat="1" ht="15"/>
    <row r="28" s="615" customFormat="1" ht="15"/>
    <row r="29" s="615" customFormat="1" ht="15"/>
    <row r="30" s="615" customFormat="1" ht="15"/>
    <row r="31" s="615" customFormat="1" ht="15"/>
    <row r="32" s="615" customFormat="1" ht="15"/>
    <row r="33" s="615" customFormat="1" ht="15"/>
    <row r="34" s="615" customFormat="1" ht="15"/>
    <row r="35" s="615" customFormat="1" ht="15"/>
    <row r="36" s="615" customFormat="1" ht="15"/>
    <row r="37" s="615" customFormat="1" ht="15"/>
    <row r="38" s="615" customFormat="1" ht="15"/>
    <row r="39" s="615" customFormat="1" ht="15"/>
  </sheetData>
  <mergeCells count="12">
    <mergeCell ref="C13:F13"/>
    <mergeCell ref="A14:B14"/>
    <mergeCell ref="A11:B11"/>
    <mergeCell ref="A12:B12"/>
    <mergeCell ref="A13:B13"/>
    <mergeCell ref="A10:B10"/>
    <mergeCell ref="A2:P2"/>
    <mergeCell ref="A8:B8"/>
    <mergeCell ref="C8:F8"/>
    <mergeCell ref="A9:B9"/>
    <mergeCell ref="C9:F9"/>
    <mergeCell ref="G5:J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4"/>
  <sheetViews>
    <sheetView workbookViewId="0" topLeftCell="A1">
      <selection activeCell="G118" sqref="G118"/>
    </sheetView>
  </sheetViews>
  <sheetFormatPr defaultColWidth="9.125" defaultRowHeight="12.75"/>
  <cols>
    <col min="1" max="1" width="8.125" style="339" customWidth="1"/>
    <col min="2" max="2" width="7.00390625" style="339" customWidth="1"/>
    <col min="3" max="3" width="12.375" style="339" bestFit="1" customWidth="1"/>
    <col min="4" max="4" width="8.75390625" style="339" customWidth="1"/>
    <col min="5" max="5" width="10.25390625" style="557" customWidth="1"/>
    <col min="6" max="6" width="10.375" style="557" customWidth="1"/>
    <col min="7" max="7" width="10.25390625" style="557" customWidth="1"/>
    <col min="8" max="8" width="9.125" style="809" customWidth="1"/>
    <col min="9" max="10" width="11.125" style="339" customWidth="1"/>
    <col min="11" max="16384" width="9.125" style="339" customWidth="1"/>
  </cols>
  <sheetData>
    <row r="1" spans="1:10" ht="12.75">
      <c r="A1" s="695" t="s">
        <v>303</v>
      </c>
      <c r="B1" s="696"/>
      <c r="C1" s="696"/>
      <c r="D1" s="696"/>
      <c r="E1" s="697"/>
      <c r="F1" s="697"/>
      <c r="G1" s="697"/>
      <c r="H1" s="698"/>
      <c r="I1" s="696"/>
      <c r="J1" s="696"/>
    </row>
    <row r="2" spans="1:10" ht="13.5" thickBot="1">
      <c r="A2" s="696"/>
      <c r="B2" s="696"/>
      <c r="C2" s="696"/>
      <c r="D2" s="696"/>
      <c r="E2" s="697"/>
      <c r="F2" s="697"/>
      <c r="G2" s="697"/>
      <c r="H2" s="698"/>
      <c r="I2" s="696"/>
      <c r="J2" s="696"/>
    </row>
    <row r="3" spans="1:10" ht="12.75">
      <c r="A3" s="699"/>
      <c r="B3" s="700"/>
      <c r="C3" s="700"/>
      <c r="D3" s="701"/>
      <c r="E3" s="702" t="s">
        <v>177</v>
      </c>
      <c r="F3" s="702" t="s">
        <v>304</v>
      </c>
      <c r="G3" s="702" t="s">
        <v>1</v>
      </c>
      <c r="H3" s="703" t="s">
        <v>183</v>
      </c>
      <c r="I3" s="704" t="s">
        <v>1</v>
      </c>
      <c r="J3" s="705"/>
    </row>
    <row r="4" spans="1:10" ht="13.5" thickBot="1">
      <c r="A4" s="706"/>
      <c r="B4" s="707"/>
      <c r="C4" s="707"/>
      <c r="D4" s="708"/>
      <c r="E4" s="709" t="s">
        <v>103</v>
      </c>
      <c r="F4" s="709" t="s">
        <v>305</v>
      </c>
      <c r="G4" s="709" t="s">
        <v>305</v>
      </c>
      <c r="H4" s="710" t="s">
        <v>306</v>
      </c>
      <c r="I4" s="711" t="s">
        <v>307</v>
      </c>
      <c r="J4" s="705"/>
    </row>
    <row r="5" spans="1:10" ht="12.75">
      <c r="A5" s="712">
        <v>112010</v>
      </c>
      <c r="B5" s="713" t="s">
        <v>242</v>
      </c>
      <c r="C5" s="714" t="s">
        <v>184</v>
      </c>
      <c r="D5" s="715" t="s">
        <v>242</v>
      </c>
      <c r="E5" s="716">
        <f>SUM(E6:E11)</f>
        <v>603875</v>
      </c>
      <c r="F5" s="716">
        <f>SUM(F6:F11)</f>
        <v>674740</v>
      </c>
      <c r="G5" s="716">
        <f>SUM(G6:G11)</f>
        <v>0</v>
      </c>
      <c r="H5" s="717">
        <f>ROUND(G5/F5*100,1)</f>
        <v>0</v>
      </c>
      <c r="I5" s="718">
        <f>G5-F5</f>
        <v>-674740</v>
      </c>
      <c r="J5" s="719"/>
    </row>
    <row r="6" spans="1:12" ht="12.75">
      <c r="A6" s="720"/>
      <c r="B6" s="721"/>
      <c r="C6" s="721"/>
      <c r="D6" s="722" t="s">
        <v>241</v>
      </c>
      <c r="E6" s="723">
        <v>337222</v>
      </c>
      <c r="F6" s="723">
        <v>370615</v>
      </c>
      <c r="G6" s="723"/>
      <c r="H6" s="724">
        <f>ROUND(G6/F6*100,1)</f>
        <v>0</v>
      </c>
      <c r="I6" s="725">
        <f>G6-F6</f>
        <v>-370615</v>
      </c>
      <c r="J6" s="719"/>
      <c r="K6" s="557"/>
      <c r="L6" s="557"/>
    </row>
    <row r="7" spans="1:12" ht="12.75">
      <c r="A7" s="720"/>
      <c r="B7" s="721"/>
      <c r="C7" s="721"/>
      <c r="D7" s="722" t="s">
        <v>308</v>
      </c>
      <c r="E7" s="723"/>
      <c r="F7" s="723"/>
      <c r="G7" s="723"/>
      <c r="H7" s="726"/>
      <c r="I7" s="725">
        <f>G7-F7</f>
        <v>0</v>
      </c>
      <c r="J7" s="719"/>
      <c r="K7" s="557"/>
      <c r="L7" s="557"/>
    </row>
    <row r="8" spans="1:10" ht="12.75">
      <c r="A8" s="720"/>
      <c r="B8" s="721"/>
      <c r="C8" s="721"/>
      <c r="D8" s="727" t="s">
        <v>309</v>
      </c>
      <c r="E8" s="728"/>
      <c r="F8" s="728"/>
      <c r="G8" s="728"/>
      <c r="H8" s="729"/>
      <c r="I8" s="730"/>
      <c r="J8" s="719"/>
    </row>
    <row r="9" spans="1:11" ht="12.75">
      <c r="A9" s="720"/>
      <c r="B9" s="731"/>
      <c r="C9" s="732"/>
      <c r="D9" s="733" t="s">
        <v>240</v>
      </c>
      <c r="E9" s="734">
        <v>266653</v>
      </c>
      <c r="F9" s="734">
        <v>304125</v>
      </c>
      <c r="G9" s="734"/>
      <c r="H9" s="735">
        <f>ROUND(G9/F9*100,1)</f>
        <v>0</v>
      </c>
      <c r="I9" s="736">
        <f>G9-F9</f>
        <v>-304125</v>
      </c>
      <c r="J9" s="719"/>
      <c r="K9" s="557"/>
    </row>
    <row r="10" spans="1:10" ht="12.75">
      <c r="A10" s="720"/>
      <c r="B10" s="721"/>
      <c r="C10" s="721"/>
      <c r="D10" s="722" t="s">
        <v>310</v>
      </c>
      <c r="E10" s="723"/>
      <c r="F10" s="723"/>
      <c r="G10" s="723"/>
      <c r="H10" s="726"/>
      <c r="I10" s="725">
        <f>G10-F10</f>
        <v>0</v>
      </c>
      <c r="J10" s="719"/>
    </row>
    <row r="11" spans="1:10" ht="13.5" thickBot="1">
      <c r="A11" s="720"/>
      <c r="B11" s="721"/>
      <c r="C11" s="721"/>
      <c r="D11" s="722" t="s">
        <v>311</v>
      </c>
      <c r="E11" s="723"/>
      <c r="F11" s="723"/>
      <c r="G11" s="723"/>
      <c r="H11" s="726"/>
      <c r="I11" s="725"/>
      <c r="J11" s="719"/>
    </row>
    <row r="12" spans="1:10" ht="12.75">
      <c r="A12" s="712">
        <v>112090</v>
      </c>
      <c r="B12" s="713" t="s">
        <v>242</v>
      </c>
      <c r="C12" s="714" t="s">
        <v>184</v>
      </c>
      <c r="D12" s="715" t="s">
        <v>242</v>
      </c>
      <c r="E12" s="716">
        <f>SUM(E13:E18)</f>
        <v>1042452</v>
      </c>
      <c r="F12" s="716">
        <f>SUM(F13:F18)</f>
        <v>1085971</v>
      </c>
      <c r="G12" s="716">
        <f>SUM(G13:G18)</f>
        <v>0</v>
      </c>
      <c r="H12" s="717">
        <f>ROUND(G12/F12*100,1)</f>
        <v>0</v>
      </c>
      <c r="I12" s="737">
        <f>G12-F12</f>
        <v>-1085971</v>
      </c>
      <c r="J12" s="719"/>
    </row>
    <row r="13" spans="1:12" ht="12.75">
      <c r="A13" s="720"/>
      <c r="B13" s="721"/>
      <c r="C13" s="721"/>
      <c r="D13" s="722" t="s">
        <v>241</v>
      </c>
      <c r="E13" s="723">
        <v>915852</v>
      </c>
      <c r="F13" s="723">
        <v>68682</v>
      </c>
      <c r="G13" s="723"/>
      <c r="H13" s="726">
        <f>ROUND(G13/F13*100,1)</f>
        <v>0</v>
      </c>
      <c r="I13" s="725">
        <f>G13-F13</f>
        <v>-68682</v>
      </c>
      <c r="J13" s="719"/>
      <c r="L13" s="557"/>
    </row>
    <row r="14" spans="1:10" ht="12.75">
      <c r="A14" s="720"/>
      <c r="B14" s="721"/>
      <c r="C14" s="721"/>
      <c r="D14" s="722" t="s">
        <v>308</v>
      </c>
      <c r="E14" s="723"/>
      <c r="F14" s="723"/>
      <c r="G14" s="723"/>
      <c r="H14" s="726"/>
      <c r="I14" s="725">
        <f>G14-F14</f>
        <v>0</v>
      </c>
      <c r="J14" s="719"/>
    </row>
    <row r="15" spans="1:10" ht="12.75">
      <c r="A15" s="720"/>
      <c r="B15" s="721"/>
      <c r="C15" s="721"/>
      <c r="D15" s="727" t="s">
        <v>309</v>
      </c>
      <c r="E15" s="728"/>
      <c r="F15" s="728"/>
      <c r="G15" s="728"/>
      <c r="H15" s="729"/>
      <c r="I15" s="730"/>
      <c r="J15" s="719"/>
    </row>
    <row r="16" spans="1:10" ht="12.75">
      <c r="A16" s="720"/>
      <c r="B16" s="731"/>
      <c r="C16" s="732"/>
      <c r="D16" s="733" t="s">
        <v>240</v>
      </c>
      <c r="E16" s="734">
        <v>126600</v>
      </c>
      <c r="F16" s="734">
        <v>1017289</v>
      </c>
      <c r="G16" s="734"/>
      <c r="H16" s="735">
        <f>ROUND(G16/F16*100,1)</f>
        <v>0</v>
      </c>
      <c r="I16" s="736">
        <f>G16-F16</f>
        <v>-1017289</v>
      </c>
      <c r="J16" s="719"/>
    </row>
    <row r="17" spans="1:10" ht="12.75">
      <c r="A17" s="720"/>
      <c r="B17" s="721"/>
      <c r="C17" s="721"/>
      <c r="D17" s="722" t="s">
        <v>310</v>
      </c>
      <c r="E17" s="723"/>
      <c r="F17" s="723"/>
      <c r="G17" s="723"/>
      <c r="H17" s="726"/>
      <c r="I17" s="725">
        <f>G17-F17</f>
        <v>0</v>
      </c>
      <c r="J17" s="719"/>
    </row>
    <row r="18" spans="1:10" ht="13.5" thickBot="1">
      <c r="A18" s="720"/>
      <c r="B18" s="721"/>
      <c r="C18" s="721"/>
      <c r="D18" s="722" t="s">
        <v>311</v>
      </c>
      <c r="E18" s="723"/>
      <c r="F18" s="723"/>
      <c r="G18" s="723"/>
      <c r="H18" s="726"/>
      <c r="I18" s="725"/>
      <c r="J18" s="719"/>
    </row>
    <row r="19" spans="1:10" ht="12.75">
      <c r="A19" s="712">
        <v>112110</v>
      </c>
      <c r="B19" s="714" t="s">
        <v>242</v>
      </c>
      <c r="C19" s="714" t="s">
        <v>312</v>
      </c>
      <c r="D19" s="715" t="s">
        <v>242</v>
      </c>
      <c r="E19" s="737">
        <f>E20+E29</f>
        <v>926830</v>
      </c>
      <c r="F19" s="738">
        <f>F20+F29</f>
        <v>1066092</v>
      </c>
      <c r="G19" s="738">
        <f>G20+G29</f>
        <v>404307</v>
      </c>
      <c r="H19" s="717">
        <f>ROUND(G19/F19*100,1)</f>
        <v>37.9</v>
      </c>
      <c r="I19" s="737">
        <f>G19-F19</f>
        <v>-661785</v>
      </c>
      <c r="J19" s="719"/>
    </row>
    <row r="20" spans="1:13" ht="12.75">
      <c r="A20" s="720"/>
      <c r="B20" s="721" t="s">
        <v>9</v>
      </c>
      <c r="C20" s="721" t="s">
        <v>184</v>
      </c>
      <c r="D20" s="739" t="s">
        <v>242</v>
      </c>
      <c r="E20" s="740">
        <f>SUM(E21:E28)</f>
        <v>584185</v>
      </c>
      <c r="F20" s="740">
        <f>SUM(F21:F28)</f>
        <v>666100</v>
      </c>
      <c r="G20" s="740">
        <f>SUM(G21:G28)</f>
        <v>0</v>
      </c>
      <c r="H20" s="741">
        <f>ROUND(G20/F20*100,1)</f>
        <v>0</v>
      </c>
      <c r="I20" s="740">
        <f>G20-F20</f>
        <v>-666100</v>
      </c>
      <c r="J20" s="742"/>
      <c r="M20" s="557"/>
    </row>
    <row r="21" spans="1:13" ht="12.75">
      <c r="A21" s="720"/>
      <c r="B21" s="721"/>
      <c r="C21" s="721"/>
      <c r="D21" s="743" t="s">
        <v>241</v>
      </c>
      <c r="E21" s="744">
        <v>305128</v>
      </c>
      <c r="F21" s="745">
        <v>258209</v>
      </c>
      <c r="G21" s="744"/>
      <c r="H21" s="726">
        <f>ROUND(G21/F21*100,1)</f>
        <v>0</v>
      </c>
      <c r="I21" s="744">
        <f>G21-F21</f>
        <v>-258209</v>
      </c>
      <c r="J21" s="742"/>
      <c r="K21" s="557"/>
      <c r="L21" s="557"/>
      <c r="M21" s="557"/>
    </row>
    <row r="22" spans="1:10" ht="12.75">
      <c r="A22" s="720"/>
      <c r="B22" s="721"/>
      <c r="C22" s="721"/>
      <c r="D22" s="746" t="s">
        <v>308</v>
      </c>
      <c r="E22" s="744"/>
      <c r="F22" s="744"/>
      <c r="G22" s="744"/>
      <c r="H22" s="726">
        <v>0</v>
      </c>
      <c r="I22" s="744">
        <f>G22-F22</f>
        <v>0</v>
      </c>
      <c r="J22" s="719"/>
    </row>
    <row r="23" spans="1:10" ht="12.75">
      <c r="A23" s="720"/>
      <c r="B23" s="721"/>
      <c r="C23" s="721"/>
      <c r="D23" s="727" t="s">
        <v>309</v>
      </c>
      <c r="E23" s="728"/>
      <c r="F23" s="728"/>
      <c r="G23" s="728"/>
      <c r="H23" s="729"/>
      <c r="I23" s="730"/>
      <c r="J23" s="719"/>
    </row>
    <row r="24" spans="1:13" ht="12.75">
      <c r="A24" s="720"/>
      <c r="B24" s="721"/>
      <c r="C24" s="721"/>
      <c r="D24" s="747" t="s">
        <v>313</v>
      </c>
      <c r="E24" s="748"/>
      <c r="F24" s="749"/>
      <c r="G24" s="748"/>
      <c r="H24" s="750"/>
      <c r="I24" s="748"/>
      <c r="J24" s="742"/>
      <c r="M24" s="557"/>
    </row>
    <row r="25" spans="1:13" ht="12.75">
      <c r="A25" s="720"/>
      <c r="B25" s="721"/>
      <c r="C25" s="721"/>
      <c r="D25" s="727" t="s">
        <v>240</v>
      </c>
      <c r="E25" s="751">
        <v>279057</v>
      </c>
      <c r="F25" s="752">
        <v>407891</v>
      </c>
      <c r="G25" s="751"/>
      <c r="H25" s="724">
        <f>ROUND(G25/F25*100,1)</f>
        <v>0</v>
      </c>
      <c r="I25" s="751">
        <f>G25-F25</f>
        <v>-407891</v>
      </c>
      <c r="J25" s="742"/>
      <c r="M25" s="557"/>
    </row>
    <row r="26" spans="1:10" ht="12.75">
      <c r="A26" s="720"/>
      <c r="B26" s="721"/>
      <c r="C26" s="721"/>
      <c r="D26" s="746" t="s">
        <v>310</v>
      </c>
      <c r="E26" s="744"/>
      <c r="F26" s="744"/>
      <c r="G26" s="744"/>
      <c r="H26" s="726">
        <v>0</v>
      </c>
      <c r="I26" s="744">
        <f>G26-F26</f>
        <v>0</v>
      </c>
      <c r="J26" s="742"/>
    </row>
    <row r="27" spans="1:10" ht="12.75">
      <c r="A27" s="720"/>
      <c r="B27" s="721"/>
      <c r="C27" s="721"/>
      <c r="D27" s="753" t="s">
        <v>314</v>
      </c>
      <c r="E27" s="742"/>
      <c r="F27" s="754"/>
      <c r="G27" s="728"/>
      <c r="H27" s="729"/>
      <c r="I27" s="755"/>
      <c r="J27" s="719"/>
    </row>
    <row r="28" spans="1:10" ht="12.75">
      <c r="A28" s="720"/>
      <c r="B28" s="721"/>
      <c r="C28" s="756"/>
      <c r="D28" s="722" t="s">
        <v>315</v>
      </c>
      <c r="E28" s="723"/>
      <c r="F28" s="723"/>
      <c r="G28" s="723"/>
      <c r="H28" s="726"/>
      <c r="I28" s="725"/>
      <c r="J28" s="719"/>
    </row>
    <row r="29" spans="1:10" ht="12.75">
      <c r="A29" s="720"/>
      <c r="B29" s="731"/>
      <c r="C29" s="731" t="s">
        <v>186</v>
      </c>
      <c r="D29" s="739" t="s">
        <v>242</v>
      </c>
      <c r="E29" s="757">
        <f>SUM(E30:E35)</f>
        <v>342645</v>
      </c>
      <c r="F29" s="757">
        <f>SUM(F30:F35)</f>
        <v>399992</v>
      </c>
      <c r="G29" s="757">
        <f>SUM(G30:G35)</f>
        <v>404307</v>
      </c>
      <c r="H29" s="741">
        <f>ROUND(G29/F29*100,1)</f>
        <v>101.1</v>
      </c>
      <c r="I29" s="740">
        <f>G29-F29</f>
        <v>4315</v>
      </c>
      <c r="J29" s="742"/>
    </row>
    <row r="30" spans="1:10" ht="12.75">
      <c r="A30" s="720"/>
      <c r="B30" s="721"/>
      <c r="C30" s="731"/>
      <c r="D30" s="758" t="s">
        <v>241</v>
      </c>
      <c r="E30" s="759">
        <v>228746</v>
      </c>
      <c r="F30" s="725">
        <v>284463</v>
      </c>
      <c r="G30" s="760">
        <v>278548</v>
      </c>
      <c r="H30" s="726">
        <f>ROUND(G30/F30*100,1)</f>
        <v>97.9</v>
      </c>
      <c r="I30" s="725">
        <f>G30-F30</f>
        <v>-5915</v>
      </c>
      <c r="J30" s="719"/>
    </row>
    <row r="31" spans="1:10" ht="12.75">
      <c r="A31" s="720"/>
      <c r="B31" s="721"/>
      <c r="C31" s="731"/>
      <c r="D31" s="746" t="s">
        <v>308</v>
      </c>
      <c r="E31" s="759"/>
      <c r="F31" s="725"/>
      <c r="G31" s="760">
        <v>0</v>
      </c>
      <c r="H31" s="726">
        <v>0</v>
      </c>
      <c r="I31" s="725">
        <f>G31-F31</f>
        <v>0</v>
      </c>
      <c r="J31" s="719"/>
    </row>
    <row r="32" spans="1:10" ht="12.75">
      <c r="A32" s="720"/>
      <c r="B32" s="761"/>
      <c r="C32" s="731"/>
      <c r="D32" s="727" t="s">
        <v>309</v>
      </c>
      <c r="E32" s="728"/>
      <c r="F32" s="728"/>
      <c r="G32" s="728">
        <v>9996</v>
      </c>
      <c r="H32" s="729"/>
      <c r="I32" s="730"/>
      <c r="J32" s="719"/>
    </row>
    <row r="33" spans="1:10" ht="12.75">
      <c r="A33" s="720"/>
      <c r="B33" s="731"/>
      <c r="C33" s="731"/>
      <c r="D33" s="733" t="s">
        <v>240</v>
      </c>
      <c r="E33" s="734">
        <v>113899</v>
      </c>
      <c r="F33" s="734">
        <v>115529</v>
      </c>
      <c r="G33" s="734">
        <v>112975</v>
      </c>
      <c r="H33" s="735">
        <f>ROUND(G33/F33*100,1)</f>
        <v>97.8</v>
      </c>
      <c r="I33" s="736">
        <f>G33-F33</f>
        <v>-2554</v>
      </c>
      <c r="J33" s="719"/>
    </row>
    <row r="34" spans="1:25" ht="12.75">
      <c r="A34" s="720"/>
      <c r="B34" s="721"/>
      <c r="C34" s="721"/>
      <c r="D34" s="722" t="s">
        <v>310</v>
      </c>
      <c r="E34" s="723"/>
      <c r="F34" s="723"/>
      <c r="G34" s="723">
        <v>0</v>
      </c>
      <c r="H34" s="726">
        <v>0</v>
      </c>
      <c r="I34" s="725">
        <f>G34-F34</f>
        <v>0</v>
      </c>
      <c r="J34" s="719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2"/>
    </row>
    <row r="35" spans="1:25" ht="13.5" thickBot="1">
      <c r="A35" s="720"/>
      <c r="B35" s="721"/>
      <c r="C35" s="721"/>
      <c r="D35" s="722" t="s">
        <v>311</v>
      </c>
      <c r="E35" s="723"/>
      <c r="F35" s="723"/>
      <c r="G35" s="723">
        <v>2788</v>
      </c>
      <c r="H35" s="726"/>
      <c r="I35" s="725">
        <f>G35-F35</f>
        <v>2788</v>
      </c>
      <c r="J35" s="719"/>
      <c r="N35" s="762"/>
      <c r="O35" s="762"/>
      <c r="P35" s="762"/>
      <c r="Q35" s="762"/>
      <c r="R35" s="762"/>
      <c r="S35" s="762"/>
      <c r="T35" s="762"/>
      <c r="U35" s="762"/>
      <c r="V35" s="762"/>
      <c r="W35" s="762"/>
      <c r="X35" s="762"/>
      <c r="Y35" s="762"/>
    </row>
    <row r="36" spans="1:25" ht="12.75">
      <c r="A36" s="712">
        <v>112120</v>
      </c>
      <c r="B36" s="714" t="s">
        <v>242</v>
      </c>
      <c r="C36" s="714" t="s">
        <v>186</v>
      </c>
      <c r="D36" s="715" t="s">
        <v>242</v>
      </c>
      <c r="E36" s="737">
        <f>SUM(E46:E51)</f>
        <v>162424</v>
      </c>
      <c r="F36" s="737">
        <f>SUM(F46:F51)</f>
        <v>243189</v>
      </c>
      <c r="G36" s="737">
        <f>SUM(G46:G51)</f>
        <v>107573</v>
      </c>
      <c r="H36" s="717">
        <f>ROUND(G36/F36*100,1)</f>
        <v>44.2</v>
      </c>
      <c r="I36" s="737">
        <f aca="true" t="shared" si="0" ref="I36:I42">G36-F36</f>
        <v>-135616</v>
      </c>
      <c r="J36" s="719"/>
      <c r="N36" s="762"/>
      <c r="O36" s="762"/>
      <c r="P36" s="719"/>
      <c r="Q36" s="761"/>
      <c r="R36" s="761"/>
      <c r="S36" s="761"/>
      <c r="T36" s="742"/>
      <c r="U36" s="742"/>
      <c r="V36" s="742"/>
      <c r="W36" s="763"/>
      <c r="X36" s="719"/>
      <c r="Y36" s="762"/>
    </row>
    <row r="37" spans="1:25" ht="12.75" hidden="1">
      <c r="A37" s="720"/>
      <c r="B37" s="721" t="s">
        <v>9</v>
      </c>
      <c r="C37" s="721" t="s">
        <v>184</v>
      </c>
      <c r="D37" s="764" t="s">
        <v>242</v>
      </c>
      <c r="E37" s="740">
        <f>SUM(E38:E44)</f>
        <v>0</v>
      </c>
      <c r="F37" s="765">
        <f>SUM(F38:F44)</f>
        <v>0</v>
      </c>
      <c r="G37" s="740">
        <f>SUM(G38:G44)</f>
        <v>0</v>
      </c>
      <c r="H37" s="741"/>
      <c r="I37" s="740">
        <f t="shared" si="0"/>
        <v>0</v>
      </c>
      <c r="J37" s="742"/>
      <c r="N37" s="762"/>
      <c r="O37" s="762"/>
      <c r="P37" s="719"/>
      <c r="Q37" s="761"/>
      <c r="R37" s="761"/>
      <c r="S37" s="761"/>
      <c r="T37" s="742"/>
      <c r="U37" s="742"/>
      <c r="V37" s="742"/>
      <c r="W37" s="763"/>
      <c r="X37" s="719"/>
      <c r="Y37" s="762"/>
    </row>
    <row r="38" spans="1:25" ht="12.75" hidden="1">
      <c r="A38" s="720"/>
      <c r="B38" s="721"/>
      <c r="C38" s="721"/>
      <c r="D38" s="764" t="s">
        <v>316</v>
      </c>
      <c r="E38" s="751"/>
      <c r="F38" s="752"/>
      <c r="G38" s="751"/>
      <c r="H38" s="724"/>
      <c r="I38" s="751">
        <f t="shared" si="0"/>
        <v>0</v>
      </c>
      <c r="J38" s="742"/>
      <c r="N38" s="762"/>
      <c r="O38" s="762"/>
      <c r="P38" s="719"/>
      <c r="Q38" s="761"/>
      <c r="R38" s="761"/>
      <c r="S38" s="761"/>
      <c r="T38" s="742"/>
      <c r="U38" s="742"/>
      <c r="V38" s="742"/>
      <c r="W38" s="763"/>
      <c r="X38" s="719"/>
      <c r="Y38" s="762"/>
    </row>
    <row r="39" spans="1:25" ht="12.75" hidden="1">
      <c r="A39" s="720"/>
      <c r="B39" s="721"/>
      <c r="C39" s="721"/>
      <c r="D39" s="722" t="s">
        <v>317</v>
      </c>
      <c r="E39" s="744"/>
      <c r="F39" s="745"/>
      <c r="G39" s="744"/>
      <c r="H39" s="726"/>
      <c r="I39" s="744">
        <f t="shared" si="0"/>
        <v>0</v>
      </c>
      <c r="J39" s="742"/>
      <c r="N39" s="762"/>
      <c r="O39" s="762"/>
      <c r="P39" s="719"/>
      <c r="Q39" s="761"/>
      <c r="R39" s="761"/>
      <c r="S39" s="761"/>
      <c r="T39" s="742"/>
      <c r="U39" s="742"/>
      <c r="V39" s="742"/>
      <c r="W39" s="763"/>
      <c r="X39" s="719"/>
      <c r="Y39" s="762"/>
    </row>
    <row r="40" spans="1:10" ht="12.75" hidden="1">
      <c r="A40" s="720"/>
      <c r="B40" s="721"/>
      <c r="C40" s="721"/>
      <c r="D40" s="746" t="s">
        <v>318</v>
      </c>
      <c r="E40" s="744"/>
      <c r="F40" s="744"/>
      <c r="G40" s="744"/>
      <c r="H40" s="726" t="e">
        <f>ROUND(G40/F40*100,1)</f>
        <v>#DIV/0!</v>
      </c>
      <c r="I40" s="744">
        <f t="shared" si="0"/>
        <v>0</v>
      </c>
      <c r="J40" s="742"/>
    </row>
    <row r="41" spans="1:10" ht="12.75" hidden="1">
      <c r="A41" s="720"/>
      <c r="B41" s="721"/>
      <c r="C41" s="721"/>
      <c r="D41" s="753" t="s">
        <v>310</v>
      </c>
      <c r="E41" s="742"/>
      <c r="F41" s="754"/>
      <c r="G41" s="728"/>
      <c r="H41" s="729">
        <v>0</v>
      </c>
      <c r="I41" s="755">
        <f t="shared" si="0"/>
        <v>0</v>
      </c>
      <c r="J41" s="742"/>
    </row>
    <row r="42" spans="1:10" ht="12.75" hidden="1">
      <c r="A42" s="720"/>
      <c r="B42" s="721"/>
      <c r="C42" s="721"/>
      <c r="D42" s="746" t="s">
        <v>308</v>
      </c>
      <c r="E42" s="744"/>
      <c r="F42" s="745"/>
      <c r="G42" s="744"/>
      <c r="H42" s="726">
        <v>0</v>
      </c>
      <c r="I42" s="744">
        <f t="shared" si="0"/>
        <v>0</v>
      </c>
      <c r="J42" s="719"/>
    </row>
    <row r="43" spans="1:10" ht="12.75" hidden="1">
      <c r="A43" s="720"/>
      <c r="B43" s="721"/>
      <c r="C43" s="721"/>
      <c r="D43" s="753" t="s">
        <v>311</v>
      </c>
      <c r="E43" s="742"/>
      <c r="F43" s="754"/>
      <c r="G43" s="728"/>
      <c r="H43" s="729"/>
      <c r="I43" s="755"/>
      <c r="J43" s="719"/>
    </row>
    <row r="44" spans="1:10" ht="13.5" hidden="1" thickBot="1">
      <c r="A44" s="720"/>
      <c r="B44" s="721"/>
      <c r="C44" s="707"/>
      <c r="D44" s="766" t="s">
        <v>309</v>
      </c>
      <c r="E44" s="767"/>
      <c r="F44" s="768"/>
      <c r="G44" s="769"/>
      <c r="H44" s="770"/>
      <c r="I44" s="768"/>
      <c r="J44" s="719"/>
    </row>
    <row r="45" spans="1:10" ht="12.75" hidden="1">
      <c r="A45" s="720"/>
      <c r="B45" s="731"/>
      <c r="C45" s="771" t="s">
        <v>186</v>
      </c>
      <c r="D45" s="764" t="s">
        <v>242</v>
      </c>
      <c r="E45" s="757">
        <f>SUM(E49:E51)</f>
        <v>162424</v>
      </c>
      <c r="F45" s="740">
        <f>SUM(F49:F51)</f>
        <v>243189</v>
      </c>
      <c r="G45" s="740">
        <f>SUM(G49:G51)</f>
        <v>107573</v>
      </c>
      <c r="H45" s="741">
        <f>ROUND(G45/F45*100,1)</f>
        <v>44.2</v>
      </c>
      <c r="I45" s="740">
        <f>G45-F45</f>
        <v>-135616</v>
      </c>
      <c r="J45" s="742"/>
    </row>
    <row r="46" spans="1:10" ht="12.75">
      <c r="A46" s="720"/>
      <c r="B46" s="721"/>
      <c r="C46" s="731"/>
      <c r="D46" s="753" t="s">
        <v>241</v>
      </c>
      <c r="E46" s="759"/>
      <c r="F46" s="725"/>
      <c r="G46" s="760"/>
      <c r="H46" s="726"/>
      <c r="I46" s="725">
        <f>G46-F46</f>
        <v>0</v>
      </c>
      <c r="J46" s="719"/>
    </row>
    <row r="47" spans="1:10" ht="12.75">
      <c r="A47" s="720"/>
      <c r="B47" s="721"/>
      <c r="C47" s="731"/>
      <c r="D47" s="722" t="s">
        <v>308</v>
      </c>
      <c r="E47" s="723"/>
      <c r="F47" s="723"/>
      <c r="G47" s="723"/>
      <c r="H47" s="726">
        <v>0</v>
      </c>
      <c r="I47" s="725">
        <f>G47-F47</f>
        <v>0</v>
      </c>
      <c r="J47" s="719"/>
    </row>
    <row r="48" spans="1:10" ht="12.75">
      <c r="A48" s="720"/>
      <c r="B48" s="721"/>
      <c r="C48" s="721"/>
      <c r="D48" s="727" t="s">
        <v>309</v>
      </c>
      <c r="E48" s="728"/>
      <c r="F48" s="728"/>
      <c r="G48" s="728"/>
      <c r="H48" s="729"/>
      <c r="I48" s="730"/>
      <c r="J48" s="719"/>
    </row>
    <row r="49" spans="1:10" ht="12.75">
      <c r="A49" s="720"/>
      <c r="B49" s="731"/>
      <c r="C49" s="732"/>
      <c r="D49" s="733" t="s">
        <v>240</v>
      </c>
      <c r="E49" s="734">
        <v>162424</v>
      </c>
      <c r="F49" s="734">
        <v>243189</v>
      </c>
      <c r="G49" s="734">
        <v>80650</v>
      </c>
      <c r="H49" s="735">
        <f>ROUND(G49/F49*100,1)</f>
        <v>33.2</v>
      </c>
      <c r="I49" s="736">
        <f>G49-F49</f>
        <v>-162539</v>
      </c>
      <c r="J49" s="719"/>
    </row>
    <row r="50" spans="1:10" ht="12.75">
      <c r="A50" s="720"/>
      <c r="B50" s="721"/>
      <c r="C50" s="721"/>
      <c r="D50" s="722" t="s">
        <v>310</v>
      </c>
      <c r="E50" s="723"/>
      <c r="F50" s="723"/>
      <c r="G50" s="723">
        <v>203</v>
      </c>
      <c r="H50" s="726">
        <v>0</v>
      </c>
      <c r="I50" s="725">
        <f>G50-F50</f>
        <v>203</v>
      </c>
      <c r="J50" s="719"/>
    </row>
    <row r="51" spans="1:10" ht="13.5" thickBot="1">
      <c r="A51" s="772"/>
      <c r="B51" s="707"/>
      <c r="C51" s="707"/>
      <c r="D51" s="766" t="s">
        <v>311</v>
      </c>
      <c r="E51" s="769"/>
      <c r="F51" s="769"/>
      <c r="G51" s="769">
        <v>26720</v>
      </c>
      <c r="H51" s="770"/>
      <c r="I51" s="768"/>
      <c r="J51" s="719"/>
    </row>
    <row r="52" spans="1:10" ht="12.75">
      <c r="A52" s="720">
        <v>112210</v>
      </c>
      <c r="B52" s="756" t="s">
        <v>242</v>
      </c>
      <c r="C52" s="756" t="s">
        <v>187</v>
      </c>
      <c r="D52" s="773" t="s">
        <v>242</v>
      </c>
      <c r="E52" s="737">
        <f>SUM(E53:E58)</f>
        <v>529300</v>
      </c>
      <c r="F52" s="737">
        <f>SUM(F53:F58)</f>
        <v>521143</v>
      </c>
      <c r="G52" s="737">
        <f>SUM(G53:G58)</f>
        <v>0</v>
      </c>
      <c r="H52" s="774">
        <f>ROUND(G52/F52*100,1)</f>
        <v>0</v>
      </c>
      <c r="I52" s="718">
        <f>G52-F52</f>
        <v>-521143</v>
      </c>
      <c r="J52" s="719"/>
    </row>
    <row r="53" spans="1:10" ht="12.75">
      <c r="A53" s="720"/>
      <c r="B53" s="721"/>
      <c r="C53" s="721"/>
      <c r="D53" s="743" t="s">
        <v>241</v>
      </c>
      <c r="E53" s="775">
        <v>215220</v>
      </c>
      <c r="F53" s="776">
        <v>204480</v>
      </c>
      <c r="G53" s="777"/>
      <c r="H53" s="724">
        <f>ROUND(G53/F53*100,1)</f>
        <v>0</v>
      </c>
      <c r="I53" s="776">
        <f>G53-F53</f>
        <v>-204480</v>
      </c>
      <c r="J53" s="719"/>
    </row>
    <row r="54" spans="1:10" ht="12.75">
      <c r="A54" s="720"/>
      <c r="B54" s="721"/>
      <c r="C54" s="721"/>
      <c r="D54" s="743" t="s">
        <v>308</v>
      </c>
      <c r="E54" s="775"/>
      <c r="F54" s="776"/>
      <c r="G54" s="777"/>
      <c r="H54" s="724">
        <v>0</v>
      </c>
      <c r="I54" s="776">
        <f>G54-F54</f>
        <v>0</v>
      </c>
      <c r="J54" s="719"/>
    </row>
    <row r="55" spans="1:10" ht="12.75">
      <c r="A55" s="720"/>
      <c r="B55" s="721"/>
      <c r="C55" s="756"/>
      <c r="D55" s="778" t="s">
        <v>309</v>
      </c>
      <c r="E55" s="779"/>
      <c r="F55" s="779"/>
      <c r="G55" s="779"/>
      <c r="H55" s="750"/>
      <c r="I55" s="780"/>
      <c r="J55" s="719"/>
    </row>
    <row r="56" spans="1:10" ht="12.75">
      <c r="A56" s="720"/>
      <c r="B56" s="721"/>
      <c r="C56" s="721"/>
      <c r="D56" s="743" t="s">
        <v>240</v>
      </c>
      <c r="E56" s="781">
        <v>314080</v>
      </c>
      <c r="F56" s="776">
        <v>316663</v>
      </c>
      <c r="G56" s="777"/>
      <c r="H56" s="724">
        <f>ROUND(G56/F56*100,1)</f>
        <v>0</v>
      </c>
      <c r="I56" s="776">
        <f>G56-F56</f>
        <v>-316663</v>
      </c>
      <c r="J56" s="719"/>
    </row>
    <row r="57" spans="1:10" ht="12.75">
      <c r="A57" s="720"/>
      <c r="B57" s="721"/>
      <c r="C57" s="721"/>
      <c r="D57" s="722" t="s">
        <v>310</v>
      </c>
      <c r="E57" s="760"/>
      <c r="F57" s="760"/>
      <c r="G57" s="760"/>
      <c r="H57" s="726">
        <v>0</v>
      </c>
      <c r="I57" s="725">
        <f>G57-F57</f>
        <v>0</v>
      </c>
      <c r="J57" s="719"/>
    </row>
    <row r="58" spans="1:10" ht="13.5" thickBot="1">
      <c r="A58" s="772"/>
      <c r="B58" s="707"/>
      <c r="C58" s="707"/>
      <c r="D58" s="766" t="s">
        <v>311</v>
      </c>
      <c r="E58" s="782"/>
      <c r="F58" s="782"/>
      <c r="G58" s="782"/>
      <c r="H58" s="770"/>
      <c r="I58" s="768"/>
      <c r="J58" s="719"/>
    </row>
    <row r="59" spans="1:10" ht="12.75">
      <c r="A59" s="720">
        <v>112310</v>
      </c>
      <c r="B59" s="783" t="s">
        <v>242</v>
      </c>
      <c r="C59" s="783" t="s">
        <v>188</v>
      </c>
      <c r="D59" s="773" t="s">
        <v>242</v>
      </c>
      <c r="E59" s="784">
        <f>SUM(E60:E65)</f>
        <v>401957</v>
      </c>
      <c r="F59" s="784">
        <f>SUM(F60:F65)</f>
        <v>398457</v>
      </c>
      <c r="G59" s="784">
        <f>SUM(G60:G65)</f>
        <v>0</v>
      </c>
      <c r="H59" s="774">
        <f>ROUND(G59/F59*100,1)</f>
        <v>0</v>
      </c>
      <c r="I59" s="718">
        <f>G59-F59</f>
        <v>-398457</v>
      </c>
      <c r="J59" s="719"/>
    </row>
    <row r="60" spans="1:10" ht="12.75">
      <c r="A60" s="720"/>
      <c r="B60" s="721"/>
      <c r="C60" s="731"/>
      <c r="D60" s="722" t="s">
        <v>241</v>
      </c>
      <c r="E60" s="777">
        <v>300025</v>
      </c>
      <c r="F60" s="777">
        <v>273225</v>
      </c>
      <c r="G60" s="777"/>
      <c r="H60" s="724">
        <f>ROUND(G60/F60*100,1)</f>
        <v>0</v>
      </c>
      <c r="I60" s="776">
        <f>G60-F60</f>
        <v>-273225</v>
      </c>
      <c r="J60" s="719"/>
    </row>
    <row r="61" spans="1:10" ht="12.75">
      <c r="A61" s="720"/>
      <c r="B61" s="721"/>
      <c r="C61" s="731"/>
      <c r="D61" s="722" t="s">
        <v>308</v>
      </c>
      <c r="E61" s="777"/>
      <c r="F61" s="777"/>
      <c r="G61" s="777"/>
      <c r="H61" s="724">
        <v>0</v>
      </c>
      <c r="I61" s="776">
        <f>G61-F61</f>
        <v>0</v>
      </c>
      <c r="J61" s="719"/>
    </row>
    <row r="62" spans="1:10" ht="12.75">
      <c r="A62" s="720"/>
      <c r="B62" s="721"/>
      <c r="C62" s="756"/>
      <c r="D62" s="778" t="s">
        <v>309</v>
      </c>
      <c r="E62" s="779"/>
      <c r="F62" s="779"/>
      <c r="G62" s="779"/>
      <c r="H62" s="750"/>
      <c r="I62" s="780"/>
      <c r="J62" s="719"/>
    </row>
    <row r="63" spans="1:10" ht="12.75">
      <c r="A63" s="720"/>
      <c r="B63" s="721"/>
      <c r="C63" s="721"/>
      <c r="D63" s="764" t="s">
        <v>240</v>
      </c>
      <c r="E63" s="777">
        <v>101932</v>
      </c>
      <c r="F63" s="777">
        <v>125232</v>
      </c>
      <c r="G63" s="777"/>
      <c r="H63" s="724">
        <f>ROUND(G63/F63*100,1)</f>
        <v>0</v>
      </c>
      <c r="I63" s="776">
        <f>G63-F63</f>
        <v>-125232</v>
      </c>
      <c r="J63" s="719"/>
    </row>
    <row r="64" spans="1:10" ht="12.75">
      <c r="A64" s="720"/>
      <c r="B64" s="721"/>
      <c r="C64" s="721"/>
      <c r="D64" s="722" t="s">
        <v>310</v>
      </c>
      <c r="E64" s="777"/>
      <c r="F64" s="777"/>
      <c r="G64" s="777"/>
      <c r="H64" s="724">
        <v>0</v>
      </c>
      <c r="I64" s="776">
        <f>G64-F64</f>
        <v>0</v>
      </c>
      <c r="J64" s="719"/>
    </row>
    <row r="65" spans="1:10" ht="13.5" thickBot="1">
      <c r="A65" s="720"/>
      <c r="B65" s="721"/>
      <c r="C65" s="721"/>
      <c r="D65" s="722" t="s">
        <v>311</v>
      </c>
      <c r="E65" s="785"/>
      <c r="F65" s="785"/>
      <c r="G65" s="785"/>
      <c r="H65" s="729"/>
      <c r="I65" s="730"/>
      <c r="J65" s="719"/>
    </row>
    <row r="66" spans="1:10" ht="12.75">
      <c r="A66" s="712">
        <v>212110</v>
      </c>
      <c r="B66" s="714" t="s">
        <v>242</v>
      </c>
      <c r="C66" s="713" t="s">
        <v>186</v>
      </c>
      <c r="D66" s="715" t="s">
        <v>242</v>
      </c>
      <c r="E66" s="737">
        <f>E67+E77</f>
        <v>0</v>
      </c>
      <c r="F66" s="738">
        <f>F67+F77</f>
        <v>8300</v>
      </c>
      <c r="G66" s="738">
        <f>G67+G77</f>
        <v>27421</v>
      </c>
      <c r="H66" s="717">
        <f>ROUND(G66/F66*100,1)</f>
        <v>330.4</v>
      </c>
      <c r="I66" s="737">
        <f aca="true" t="shared" si="1" ref="I66:I91">G66-F66</f>
        <v>19121</v>
      </c>
      <c r="J66" s="719"/>
    </row>
    <row r="67" spans="1:10" ht="12.75" hidden="1">
      <c r="A67" s="720"/>
      <c r="B67" s="721" t="s">
        <v>9</v>
      </c>
      <c r="C67" s="721" t="s">
        <v>184</v>
      </c>
      <c r="D67" s="764" t="s">
        <v>242</v>
      </c>
      <c r="E67" s="740">
        <f>E68+E69+E70+E71</f>
        <v>0</v>
      </c>
      <c r="F67" s="765">
        <f>SUM(F68:F76)</f>
        <v>0</v>
      </c>
      <c r="G67" s="740">
        <f>SUM(G68:G76)</f>
        <v>0</v>
      </c>
      <c r="H67" s="741"/>
      <c r="I67" s="740">
        <f t="shared" si="1"/>
        <v>0</v>
      </c>
      <c r="J67" s="719"/>
    </row>
    <row r="68" spans="1:10" ht="12.75" hidden="1">
      <c r="A68" s="720"/>
      <c r="B68" s="721"/>
      <c r="C68" s="721"/>
      <c r="D68" s="764" t="s">
        <v>316</v>
      </c>
      <c r="E68" s="751"/>
      <c r="F68" s="752"/>
      <c r="G68" s="751"/>
      <c r="H68" s="724"/>
      <c r="I68" s="751">
        <f>G68-F68</f>
        <v>0</v>
      </c>
      <c r="J68" s="719"/>
    </row>
    <row r="69" spans="1:10" ht="12.75" hidden="1">
      <c r="A69" s="720"/>
      <c r="B69" s="721"/>
      <c r="C69" s="721"/>
      <c r="D69" s="722" t="s">
        <v>317</v>
      </c>
      <c r="E69" s="744"/>
      <c r="F69" s="745"/>
      <c r="G69" s="744"/>
      <c r="H69" s="726"/>
      <c r="I69" s="744">
        <f t="shared" si="1"/>
        <v>0</v>
      </c>
      <c r="J69" s="719"/>
    </row>
    <row r="70" spans="1:10" ht="12.75" hidden="1">
      <c r="A70" s="720"/>
      <c r="B70" s="721"/>
      <c r="C70" s="721"/>
      <c r="D70" s="746" t="s">
        <v>319</v>
      </c>
      <c r="E70" s="744"/>
      <c r="F70" s="745"/>
      <c r="G70" s="744"/>
      <c r="H70" s="726"/>
      <c r="I70" s="744">
        <f t="shared" si="1"/>
        <v>0</v>
      </c>
      <c r="J70" s="742"/>
    </row>
    <row r="71" spans="1:10" ht="12.75" hidden="1">
      <c r="A71" s="720"/>
      <c r="B71" s="721"/>
      <c r="C71" s="721"/>
      <c r="D71" s="746" t="s">
        <v>320</v>
      </c>
      <c r="E71" s="744"/>
      <c r="F71" s="745"/>
      <c r="G71" s="744"/>
      <c r="H71" s="726"/>
      <c r="I71" s="744">
        <f t="shared" si="1"/>
        <v>0</v>
      </c>
      <c r="J71" s="719"/>
    </row>
    <row r="72" spans="1:10" ht="12.75" hidden="1">
      <c r="A72" s="720"/>
      <c r="B72" s="721"/>
      <c r="C72" s="721"/>
      <c r="D72" s="746" t="s">
        <v>318</v>
      </c>
      <c r="E72" s="744"/>
      <c r="F72" s="744"/>
      <c r="G72" s="744"/>
      <c r="H72" s="726" t="e">
        <f>ROUND(G72/F72*100,1)</f>
        <v>#DIV/0!</v>
      </c>
      <c r="I72" s="744">
        <f t="shared" si="1"/>
        <v>0</v>
      </c>
      <c r="J72" s="719"/>
    </row>
    <row r="73" spans="1:10" ht="12.75" hidden="1">
      <c r="A73" s="720"/>
      <c r="B73" s="721"/>
      <c r="C73" s="721"/>
      <c r="D73" s="753" t="s">
        <v>310</v>
      </c>
      <c r="E73" s="742"/>
      <c r="F73" s="754"/>
      <c r="G73" s="728"/>
      <c r="H73" s="729">
        <v>0</v>
      </c>
      <c r="I73" s="755">
        <f t="shared" si="1"/>
        <v>0</v>
      </c>
      <c r="J73" s="719"/>
    </row>
    <row r="74" spans="1:10" ht="12.75" hidden="1">
      <c r="A74" s="720"/>
      <c r="B74" s="721"/>
      <c r="C74" s="721"/>
      <c r="D74" s="722" t="s">
        <v>308</v>
      </c>
      <c r="E74" s="744"/>
      <c r="F74" s="745"/>
      <c r="G74" s="744"/>
      <c r="H74" s="726">
        <v>0</v>
      </c>
      <c r="I74" s="744">
        <f t="shared" si="1"/>
        <v>0</v>
      </c>
      <c r="J74" s="742"/>
    </row>
    <row r="75" spans="1:10" ht="12.75" hidden="1">
      <c r="A75" s="720"/>
      <c r="B75" s="721"/>
      <c r="C75" s="721"/>
      <c r="D75" s="753" t="s">
        <v>311</v>
      </c>
      <c r="E75" s="742"/>
      <c r="F75" s="754"/>
      <c r="G75" s="728"/>
      <c r="H75" s="729"/>
      <c r="I75" s="755"/>
      <c r="J75" s="742"/>
    </row>
    <row r="76" spans="1:10" ht="13.5" hidden="1" thickBot="1">
      <c r="A76" s="720"/>
      <c r="B76" s="721"/>
      <c r="C76" s="707"/>
      <c r="D76" s="766" t="s">
        <v>309</v>
      </c>
      <c r="E76" s="767"/>
      <c r="F76" s="768"/>
      <c r="G76" s="769"/>
      <c r="H76" s="770"/>
      <c r="I76" s="768"/>
      <c r="J76" s="742"/>
    </row>
    <row r="77" spans="1:10" ht="12.75" hidden="1">
      <c r="A77" s="720"/>
      <c r="B77" s="731"/>
      <c r="C77" s="731"/>
      <c r="D77" s="764" t="s">
        <v>242</v>
      </c>
      <c r="E77" s="757">
        <f>SUM(E78:E83)</f>
        <v>0</v>
      </c>
      <c r="F77" s="757">
        <f>SUM(F78:F83)</f>
        <v>8300</v>
      </c>
      <c r="G77" s="757">
        <f>SUM(G78:G83)</f>
        <v>27421</v>
      </c>
      <c r="H77" s="741">
        <f>ROUND(G77/F77*100,1)</f>
        <v>330.4</v>
      </c>
      <c r="I77" s="740">
        <f t="shared" si="1"/>
        <v>19121</v>
      </c>
      <c r="J77" s="742"/>
    </row>
    <row r="78" spans="1:10" ht="12.75">
      <c r="A78" s="720"/>
      <c r="B78" s="721"/>
      <c r="C78" s="731"/>
      <c r="D78" s="753" t="s">
        <v>241</v>
      </c>
      <c r="E78" s="759"/>
      <c r="F78" s="725"/>
      <c r="G78" s="760"/>
      <c r="H78" s="726"/>
      <c r="I78" s="725">
        <f>G78-F78</f>
        <v>0</v>
      </c>
      <c r="J78" s="742"/>
    </row>
    <row r="79" spans="1:10" ht="12.75">
      <c r="A79" s="720"/>
      <c r="B79" s="721"/>
      <c r="C79" s="731"/>
      <c r="D79" s="753" t="s">
        <v>308</v>
      </c>
      <c r="E79" s="759"/>
      <c r="F79" s="725"/>
      <c r="G79" s="760"/>
      <c r="H79" s="726">
        <v>0</v>
      </c>
      <c r="I79" s="725">
        <f>G79-F79</f>
        <v>0</v>
      </c>
      <c r="J79" s="719"/>
    </row>
    <row r="80" spans="1:10" ht="12.75">
      <c r="A80" s="720"/>
      <c r="B80" s="721"/>
      <c r="C80" s="756"/>
      <c r="D80" s="778" t="s">
        <v>309</v>
      </c>
      <c r="E80" s="779"/>
      <c r="F80" s="779"/>
      <c r="G80" s="779"/>
      <c r="H80" s="750"/>
      <c r="I80" s="780"/>
      <c r="J80" s="742"/>
    </row>
    <row r="81" spans="1:10" ht="12.75">
      <c r="A81" s="720"/>
      <c r="B81" s="721"/>
      <c r="C81" s="731"/>
      <c r="D81" s="764" t="s">
        <v>240</v>
      </c>
      <c r="E81" s="742"/>
      <c r="F81" s="754">
        <v>8300</v>
      </c>
      <c r="G81" s="785">
        <v>8300</v>
      </c>
      <c r="H81" s="729">
        <f>ROUND(G81/F81*100,1)</f>
        <v>100</v>
      </c>
      <c r="I81" s="730">
        <f>G81-F81</f>
        <v>0</v>
      </c>
      <c r="J81" s="742"/>
    </row>
    <row r="82" spans="1:10" ht="12.75">
      <c r="A82" s="720"/>
      <c r="B82" s="721"/>
      <c r="C82" s="721"/>
      <c r="D82" s="722" t="s">
        <v>310</v>
      </c>
      <c r="E82" s="786"/>
      <c r="F82" s="787"/>
      <c r="G82" s="760">
        <v>0</v>
      </c>
      <c r="H82" s="726">
        <v>0</v>
      </c>
      <c r="I82" s="725">
        <f>G82-F82</f>
        <v>0</v>
      </c>
      <c r="J82" s="719"/>
    </row>
    <row r="83" spans="1:10" ht="13.5" thickBot="1">
      <c r="A83" s="772"/>
      <c r="B83" s="707"/>
      <c r="C83" s="707"/>
      <c r="D83" s="766" t="s">
        <v>311</v>
      </c>
      <c r="E83" s="788"/>
      <c r="F83" s="789"/>
      <c r="G83" s="782">
        <v>19121</v>
      </c>
      <c r="H83" s="770"/>
      <c r="I83" s="768"/>
      <c r="J83" s="719"/>
    </row>
    <row r="84" spans="1:10" ht="12.75">
      <c r="A84" s="712">
        <v>212910</v>
      </c>
      <c r="B84" s="714" t="s">
        <v>242</v>
      </c>
      <c r="C84" s="714" t="s">
        <v>184</v>
      </c>
      <c r="D84" s="715" t="s">
        <v>242</v>
      </c>
      <c r="E84" s="738">
        <f>SUM(E85:E90)</f>
        <v>60000</v>
      </c>
      <c r="F84" s="738">
        <f>SUM(F85:F90)</f>
        <v>57000</v>
      </c>
      <c r="G84" s="738">
        <f>SUM(G85:G90)</f>
        <v>0</v>
      </c>
      <c r="H84" s="717">
        <f>ROUND(G84/F84*100,1)</f>
        <v>0</v>
      </c>
      <c r="I84" s="737">
        <f t="shared" si="1"/>
        <v>-57000</v>
      </c>
      <c r="J84" s="719"/>
    </row>
    <row r="85" spans="1:10" ht="12.75">
      <c r="A85" s="790"/>
      <c r="B85" s="721"/>
      <c r="C85" s="721"/>
      <c r="D85" s="722" t="s">
        <v>241</v>
      </c>
      <c r="E85" s="777">
        <v>28175</v>
      </c>
      <c r="F85" s="777">
        <v>25969</v>
      </c>
      <c r="G85" s="777"/>
      <c r="H85" s="724">
        <f>ROUND(G85/F85*100,1)</f>
        <v>0</v>
      </c>
      <c r="I85" s="776">
        <f>G85-F85</f>
        <v>-25969</v>
      </c>
      <c r="J85" s="719"/>
    </row>
    <row r="86" spans="1:10" ht="12.75">
      <c r="A86" s="790"/>
      <c r="B86" s="721"/>
      <c r="C86" s="721"/>
      <c r="D86" s="722" t="s">
        <v>308</v>
      </c>
      <c r="E86" s="777"/>
      <c r="F86" s="777"/>
      <c r="G86" s="777"/>
      <c r="H86" s="724">
        <v>0</v>
      </c>
      <c r="I86" s="776">
        <f>G86-F86</f>
        <v>0</v>
      </c>
      <c r="J86" s="719"/>
    </row>
    <row r="87" spans="1:10" ht="12.75">
      <c r="A87" s="720"/>
      <c r="B87" s="721"/>
      <c r="C87" s="756"/>
      <c r="D87" s="778" t="s">
        <v>309</v>
      </c>
      <c r="E87" s="779"/>
      <c r="F87" s="779"/>
      <c r="G87" s="779"/>
      <c r="H87" s="750"/>
      <c r="I87" s="780"/>
      <c r="J87" s="719"/>
    </row>
    <row r="88" spans="1:10" ht="12.75">
      <c r="A88" s="790"/>
      <c r="B88" s="721"/>
      <c r="C88" s="732"/>
      <c r="D88" s="764" t="s">
        <v>240</v>
      </c>
      <c r="E88" s="777">
        <v>31825</v>
      </c>
      <c r="F88" s="777">
        <v>31031</v>
      </c>
      <c r="G88" s="777"/>
      <c r="H88" s="724">
        <f>ROUND(G88/F88*100,1)</f>
        <v>0</v>
      </c>
      <c r="I88" s="776">
        <f t="shared" si="1"/>
        <v>-31031</v>
      </c>
      <c r="J88" s="719"/>
    </row>
    <row r="89" spans="1:16" ht="12.75">
      <c r="A89" s="790"/>
      <c r="B89" s="721"/>
      <c r="C89" s="721"/>
      <c r="D89" s="722" t="s">
        <v>310</v>
      </c>
      <c r="E89" s="777"/>
      <c r="F89" s="777"/>
      <c r="G89" s="777"/>
      <c r="H89" s="724">
        <v>0</v>
      </c>
      <c r="I89" s="776">
        <f t="shared" si="1"/>
        <v>0</v>
      </c>
      <c r="J89" s="719"/>
      <c r="P89" s="557"/>
    </row>
    <row r="90" spans="1:16" ht="13.5" thickBot="1">
      <c r="A90" s="706"/>
      <c r="B90" s="707"/>
      <c r="C90" s="707"/>
      <c r="D90" s="766" t="s">
        <v>311</v>
      </c>
      <c r="E90" s="841"/>
      <c r="F90" s="841"/>
      <c r="G90" s="841"/>
      <c r="H90" s="842"/>
      <c r="I90" s="843"/>
      <c r="J90" s="719"/>
      <c r="P90" s="557"/>
    </row>
    <row r="91" spans="1:10" ht="13.5" thickBot="1">
      <c r="A91" s="791" t="s">
        <v>239</v>
      </c>
      <c r="B91" s="792"/>
      <c r="C91" s="793" t="s">
        <v>321</v>
      </c>
      <c r="D91" s="794" t="s">
        <v>242</v>
      </c>
      <c r="E91" s="795">
        <f>+E5+E12+E19+E36+E52+E59+E66+E84</f>
        <v>3726838</v>
      </c>
      <c r="F91" s="795">
        <f>+F5+F12+F19+F36+F52+F59+F66+F84</f>
        <v>4054892</v>
      </c>
      <c r="G91" s="795">
        <f>+G5+G12+G19+G36+G52+G59+G66+G84</f>
        <v>539301</v>
      </c>
      <c r="H91" s="796">
        <f>ROUND(G91/F91*100,1)</f>
        <v>13.3</v>
      </c>
      <c r="I91" s="797">
        <f t="shared" si="1"/>
        <v>-3515591</v>
      </c>
      <c r="J91" s="719"/>
    </row>
    <row r="92" spans="1:10" ht="12.75">
      <c r="A92" s="699"/>
      <c r="B92" s="700"/>
      <c r="C92" s="798" t="s">
        <v>322</v>
      </c>
      <c r="D92" s="799" t="s">
        <v>241</v>
      </c>
      <c r="E92" s="800">
        <f>+E6+E13+E21+E30+E46+E53+E60+E78+E85</f>
        <v>2330368</v>
      </c>
      <c r="F92" s="800">
        <f>+F6+F13+F21+F30+F46+F53+F60+F78+F85+F24</f>
        <v>1485643</v>
      </c>
      <c r="G92" s="800">
        <f>+G6+G13+G21+G30+G46+G53+G60+G78+G85</f>
        <v>278548</v>
      </c>
      <c r="H92" s="801">
        <f>ROUND(G92/F92*100,1)</f>
        <v>18.7</v>
      </c>
      <c r="I92" s="802">
        <f>G92-F92</f>
        <v>-1207095</v>
      </c>
      <c r="J92" s="719"/>
    </row>
    <row r="93" spans="1:10" ht="12.75">
      <c r="A93" s="790"/>
      <c r="B93" s="721"/>
      <c r="C93" s="803"/>
      <c r="D93" s="758" t="s">
        <v>240</v>
      </c>
      <c r="E93" s="785">
        <f>+E9+E16+E25+E33+E49+E56+E63+E81+E88</f>
        <v>1396470</v>
      </c>
      <c r="F93" s="785">
        <f>+F9+F16+F25+F33+F49+F56+F63+F81+F88+F28</f>
        <v>2569249</v>
      </c>
      <c r="G93" s="785">
        <f>+G9+G16+G25+G33+G49+G56+G63+G81+G88</f>
        <v>201925</v>
      </c>
      <c r="H93" s="729">
        <f>ROUND(G93/F93*100,1)</f>
        <v>7.9</v>
      </c>
      <c r="I93" s="730">
        <f>G93-F93</f>
        <v>-2367324</v>
      </c>
      <c r="J93" s="719"/>
    </row>
    <row r="94" spans="1:10" ht="12.75">
      <c r="A94" s="790"/>
      <c r="B94" s="721"/>
      <c r="C94" s="803"/>
      <c r="D94" s="804" t="s">
        <v>308</v>
      </c>
      <c r="E94" s="760"/>
      <c r="F94" s="760"/>
      <c r="G94" s="760">
        <f>+G7+G14+G22+G31+G47+G61+G79+G86</f>
        <v>0</v>
      </c>
      <c r="H94" s="726"/>
      <c r="I94" s="725"/>
      <c r="J94" s="719"/>
    </row>
    <row r="95" spans="1:10" ht="12.75">
      <c r="A95" s="790"/>
      <c r="B95" s="721"/>
      <c r="C95" s="803"/>
      <c r="D95" s="804" t="s">
        <v>310</v>
      </c>
      <c r="E95" s="760"/>
      <c r="F95" s="760"/>
      <c r="G95" s="760">
        <f>+G10+G17+G26+G34+G50+G57+G82+G89</f>
        <v>203</v>
      </c>
      <c r="H95" s="726"/>
      <c r="I95" s="725"/>
      <c r="J95" s="719"/>
    </row>
    <row r="96" spans="1:9" ht="12.75">
      <c r="A96" s="790"/>
      <c r="B96" s="721"/>
      <c r="C96" s="805"/>
      <c r="D96" s="804" t="s">
        <v>309</v>
      </c>
      <c r="E96" s="760"/>
      <c r="F96" s="760"/>
      <c r="G96" s="760">
        <f>+G8+G15+G23+G32+G48+G55+G62+G80+G87</f>
        <v>9996</v>
      </c>
      <c r="H96" s="726">
        <v>0</v>
      </c>
      <c r="I96" s="725">
        <f>G96-F96</f>
        <v>9996</v>
      </c>
    </row>
    <row r="97" spans="1:9" ht="13.5" thickBot="1">
      <c r="A97" s="706"/>
      <c r="B97" s="707"/>
      <c r="C97" s="806"/>
      <c r="D97" s="807" t="s">
        <v>311</v>
      </c>
      <c r="E97" s="782"/>
      <c r="F97" s="782"/>
      <c r="G97" s="782">
        <f>+G11+G18+G27+G35+G51+G58+G65+G83+G90</f>
        <v>48629</v>
      </c>
      <c r="H97" s="770">
        <v>0</v>
      </c>
      <c r="I97" s="768">
        <f>G97-F97</f>
        <v>48629</v>
      </c>
    </row>
    <row r="98" spans="5:8" ht="12.75">
      <c r="E98" s="339"/>
      <c r="F98" s="339"/>
      <c r="H98" s="339"/>
    </row>
    <row r="99" spans="4:8" ht="12.75">
      <c r="D99" s="557"/>
      <c r="H99" s="339"/>
    </row>
    <row r="100" spans="1:3" ht="12.75">
      <c r="A100" s="808" t="s">
        <v>323</v>
      </c>
      <c r="B100" s="808"/>
      <c r="C100" s="808"/>
    </row>
    <row r="102" ht="13.5" thickBot="1"/>
    <row r="103" spans="1:10" ht="12.75">
      <c r="A103" s="762"/>
      <c r="B103" s="762"/>
      <c r="C103" s="699"/>
      <c r="D103" s="701"/>
      <c r="E103" s="702" t="s">
        <v>177</v>
      </c>
      <c r="F103" s="702" t="s">
        <v>304</v>
      </c>
      <c r="G103" s="702" t="s">
        <v>1</v>
      </c>
      <c r="H103" s="810" t="s">
        <v>183</v>
      </c>
      <c r="I103" s="704" t="s">
        <v>1</v>
      </c>
      <c r="J103" s="705"/>
    </row>
    <row r="104" spans="1:10" ht="13.5" thickBot="1">
      <c r="A104" s="762"/>
      <c r="B104" s="762"/>
      <c r="C104" s="706"/>
      <c r="D104" s="708"/>
      <c r="E104" s="709" t="s">
        <v>103</v>
      </c>
      <c r="F104" s="709" t="s">
        <v>305</v>
      </c>
      <c r="G104" s="709" t="s">
        <v>305</v>
      </c>
      <c r="H104" s="811" t="s">
        <v>306</v>
      </c>
      <c r="I104" s="711" t="s">
        <v>307</v>
      </c>
      <c r="J104" s="705"/>
    </row>
    <row r="105" spans="3:10" ht="12.75">
      <c r="C105" s="812" t="s">
        <v>184</v>
      </c>
      <c r="D105" s="813" t="s">
        <v>242</v>
      </c>
      <c r="E105" s="814">
        <f>SUM(E106:E113)</f>
        <v>2290512</v>
      </c>
      <c r="F105" s="814">
        <f>SUM(F106:F113)</f>
        <v>2483811</v>
      </c>
      <c r="G105" s="814">
        <f>SUM(G106:G113)</f>
        <v>0</v>
      </c>
      <c r="H105" s="815">
        <f>ROUND(G105/F105*100,1)</f>
        <v>0</v>
      </c>
      <c r="I105" s="814">
        <f>G105-F105</f>
        <v>-2483811</v>
      </c>
      <c r="J105" s="816"/>
    </row>
    <row r="106" spans="3:10" ht="12.75">
      <c r="C106" s="790"/>
      <c r="D106" s="817" t="s">
        <v>241</v>
      </c>
      <c r="E106" s="740">
        <f>+E6+E13+E21+E85</f>
        <v>1586377</v>
      </c>
      <c r="F106" s="740">
        <f>+F6+F13+F21+F85</f>
        <v>723475</v>
      </c>
      <c r="G106" s="740">
        <f>+G6+G13+G21+G85</f>
        <v>0</v>
      </c>
      <c r="H106" s="741">
        <f>ROUND(G106/F106*100,1)</f>
        <v>0</v>
      </c>
      <c r="I106" s="740">
        <f>G106-F106</f>
        <v>-723475</v>
      </c>
      <c r="J106" s="742"/>
    </row>
    <row r="107" spans="3:10" ht="12.75">
      <c r="C107" s="818"/>
      <c r="D107" s="739" t="s">
        <v>308</v>
      </c>
      <c r="E107" s="740">
        <f aca="true" t="shared" si="2" ref="E107:G108">+E7+E14+E22+E86</f>
        <v>0</v>
      </c>
      <c r="F107" s="740">
        <f t="shared" si="2"/>
        <v>0</v>
      </c>
      <c r="G107" s="740">
        <f t="shared" si="2"/>
        <v>0</v>
      </c>
      <c r="H107" s="741">
        <v>0</v>
      </c>
      <c r="I107" s="740">
        <f>G107-F107</f>
        <v>0</v>
      </c>
      <c r="J107" s="742"/>
    </row>
    <row r="108" spans="3:10" ht="13.5" thickBot="1">
      <c r="C108" s="818"/>
      <c r="D108" s="819" t="s">
        <v>309</v>
      </c>
      <c r="E108" s="820">
        <f t="shared" si="2"/>
        <v>0</v>
      </c>
      <c r="F108" s="820">
        <f t="shared" si="2"/>
        <v>0</v>
      </c>
      <c r="G108" s="820">
        <f t="shared" si="2"/>
        <v>0</v>
      </c>
      <c r="H108" s="821"/>
      <c r="I108" s="820"/>
      <c r="J108" s="742"/>
    </row>
    <row r="109" spans="3:10" ht="12.75">
      <c r="C109" s="822" t="s">
        <v>186</v>
      </c>
      <c r="D109" s="823" t="s">
        <v>313</v>
      </c>
      <c r="E109" s="824">
        <f>+E24</f>
        <v>0</v>
      </c>
      <c r="F109" s="824">
        <f>+F24</f>
        <v>0</v>
      </c>
      <c r="G109" s="824">
        <f>+G24</f>
        <v>0</v>
      </c>
      <c r="H109" s="825"/>
      <c r="I109" s="826">
        <f>G109-F109</f>
        <v>0</v>
      </c>
      <c r="J109" s="742"/>
    </row>
    <row r="110" spans="3:10" ht="12.75">
      <c r="C110" s="827"/>
      <c r="D110" s="828" t="s">
        <v>240</v>
      </c>
      <c r="E110" s="740">
        <f>+E9+E16+E25+E88</f>
        <v>704135</v>
      </c>
      <c r="F110" s="740">
        <f>+F9+F16+F25+F88</f>
        <v>1760336</v>
      </c>
      <c r="G110" s="740">
        <f>+G9+G16+G25+G88</f>
        <v>0</v>
      </c>
      <c r="H110" s="774">
        <f>ROUND(G110/F110*100,1)</f>
        <v>0</v>
      </c>
      <c r="I110" s="824">
        <f>G110-F110</f>
        <v>-1760336</v>
      </c>
      <c r="J110" s="742"/>
    </row>
    <row r="111" spans="3:12" ht="12.75">
      <c r="C111" s="822"/>
      <c r="D111" s="739" t="s">
        <v>310</v>
      </c>
      <c r="E111" s="740">
        <f aca="true" t="shared" si="3" ref="E111:G112">+E10+E17+E26+E89</f>
        <v>0</v>
      </c>
      <c r="F111" s="740">
        <f t="shared" si="3"/>
        <v>0</v>
      </c>
      <c r="G111" s="740">
        <f t="shared" si="3"/>
        <v>0</v>
      </c>
      <c r="H111" s="741">
        <v>0</v>
      </c>
      <c r="I111" s="740">
        <f>G111-F111</f>
        <v>0</v>
      </c>
      <c r="J111" s="742"/>
      <c r="K111" s="557"/>
      <c r="L111" s="557"/>
    </row>
    <row r="112" spans="3:10" ht="12.75">
      <c r="C112" s="818"/>
      <c r="D112" s="829" t="s">
        <v>311</v>
      </c>
      <c r="E112" s="740">
        <f t="shared" si="3"/>
        <v>0</v>
      </c>
      <c r="F112" s="740">
        <f t="shared" si="3"/>
        <v>0</v>
      </c>
      <c r="G112" s="740">
        <f t="shared" si="3"/>
        <v>0</v>
      </c>
      <c r="H112" s="729"/>
      <c r="I112" s="755"/>
      <c r="J112" s="742"/>
    </row>
    <row r="113" spans="3:10" ht="13.5" thickBot="1">
      <c r="C113" s="830" t="s">
        <v>186</v>
      </c>
      <c r="D113" s="817" t="s">
        <v>324</v>
      </c>
      <c r="E113" s="740">
        <f>+E28</f>
        <v>0</v>
      </c>
      <c r="F113" s="740">
        <f>+F28</f>
        <v>0</v>
      </c>
      <c r="G113" s="740">
        <f>+G28</f>
        <v>0</v>
      </c>
      <c r="H113" s="741"/>
      <c r="I113" s="740">
        <f>G113-F113</f>
        <v>0</v>
      </c>
      <c r="J113" s="742"/>
    </row>
    <row r="114" spans="3:10" ht="12.75">
      <c r="C114" s="831" t="s">
        <v>186</v>
      </c>
      <c r="D114" s="832" t="s">
        <v>242</v>
      </c>
      <c r="E114" s="814">
        <f>SUM(E115:E120)</f>
        <v>505069</v>
      </c>
      <c r="F114" s="814">
        <f>SUM(F115:F120)</f>
        <v>651481</v>
      </c>
      <c r="G114" s="814">
        <f>SUM(G115:G120)</f>
        <v>539301</v>
      </c>
      <c r="H114" s="815">
        <f>ROUND(G114/F114*100,1)</f>
        <v>82.8</v>
      </c>
      <c r="I114" s="814">
        <f>G114-F114</f>
        <v>-112180</v>
      </c>
      <c r="J114" s="816"/>
    </row>
    <row r="115" spans="3:10" ht="12.75">
      <c r="C115" s="818"/>
      <c r="D115" s="739" t="s">
        <v>241</v>
      </c>
      <c r="E115" s="740">
        <f>+E30+E46+E78</f>
        <v>228746</v>
      </c>
      <c r="F115" s="740">
        <f>+F30+F46+F78</f>
        <v>284463</v>
      </c>
      <c r="G115" s="740">
        <f>+G30+G46+G78</f>
        <v>278548</v>
      </c>
      <c r="H115" s="741">
        <f>ROUND(G115/F115*100,1)</f>
        <v>97.9</v>
      </c>
      <c r="I115" s="740">
        <f>G115-F115</f>
        <v>-5915</v>
      </c>
      <c r="J115" s="742"/>
    </row>
    <row r="116" spans="3:10" ht="12.75">
      <c r="C116" s="818"/>
      <c r="D116" s="739" t="s">
        <v>308</v>
      </c>
      <c r="E116" s="740">
        <f aca="true" t="shared" si="4" ref="E116:G120">+E31+E47+E79</f>
        <v>0</v>
      </c>
      <c r="F116" s="740">
        <f t="shared" si="4"/>
        <v>0</v>
      </c>
      <c r="G116" s="740">
        <f t="shared" si="4"/>
        <v>0</v>
      </c>
      <c r="H116" s="741">
        <v>0</v>
      </c>
      <c r="I116" s="740">
        <f>G116-F116</f>
        <v>0</v>
      </c>
      <c r="J116" s="742"/>
    </row>
    <row r="117" spans="3:10" ht="13.5" thickBot="1">
      <c r="C117" s="818"/>
      <c r="D117" s="819" t="s">
        <v>309</v>
      </c>
      <c r="E117" s="820">
        <f t="shared" si="4"/>
        <v>0</v>
      </c>
      <c r="F117" s="820">
        <f t="shared" si="4"/>
        <v>0</v>
      </c>
      <c r="G117" s="820">
        <f t="shared" si="4"/>
        <v>9996</v>
      </c>
      <c r="H117" s="821"/>
      <c r="I117" s="820"/>
      <c r="J117" s="742"/>
    </row>
    <row r="118" spans="3:10" ht="12.75">
      <c r="C118" s="818"/>
      <c r="D118" s="823" t="s">
        <v>240</v>
      </c>
      <c r="E118" s="824">
        <f t="shared" si="4"/>
        <v>276323</v>
      </c>
      <c r="F118" s="824">
        <f t="shared" si="4"/>
        <v>367018</v>
      </c>
      <c r="G118" s="824">
        <f t="shared" si="4"/>
        <v>201925</v>
      </c>
      <c r="H118" s="825">
        <f>ROUND(G118/F118*100,1)</f>
        <v>55</v>
      </c>
      <c r="I118" s="826">
        <f>G118-F118</f>
        <v>-165093</v>
      </c>
      <c r="J118" s="742"/>
    </row>
    <row r="119" spans="3:12" ht="12.75">
      <c r="C119" s="818"/>
      <c r="D119" s="739" t="s">
        <v>310</v>
      </c>
      <c r="E119" s="740">
        <f t="shared" si="4"/>
        <v>0</v>
      </c>
      <c r="F119" s="740">
        <f t="shared" si="4"/>
        <v>0</v>
      </c>
      <c r="G119" s="740">
        <f t="shared" si="4"/>
        <v>203</v>
      </c>
      <c r="H119" s="741">
        <v>0</v>
      </c>
      <c r="I119" s="740">
        <f>G119-F119</f>
        <v>203</v>
      </c>
      <c r="J119" s="742"/>
      <c r="K119" s="557"/>
      <c r="L119" s="557"/>
    </row>
    <row r="120" spans="3:10" ht="13.5" thickBot="1">
      <c r="C120" s="818"/>
      <c r="D120" s="833" t="s">
        <v>311</v>
      </c>
      <c r="E120" s="755">
        <f t="shared" si="4"/>
        <v>0</v>
      </c>
      <c r="F120" s="755">
        <f t="shared" si="4"/>
        <v>0</v>
      </c>
      <c r="G120" s="755">
        <f t="shared" si="4"/>
        <v>48629</v>
      </c>
      <c r="H120" s="729"/>
      <c r="I120" s="755"/>
      <c r="J120" s="742"/>
    </row>
    <row r="121" spans="3:10" ht="12.75">
      <c r="C121" s="831" t="s">
        <v>187</v>
      </c>
      <c r="D121" s="832" t="s">
        <v>242</v>
      </c>
      <c r="E121" s="814">
        <f>SUM(E122:E127)</f>
        <v>529300</v>
      </c>
      <c r="F121" s="814">
        <f>SUM(F122:F127)</f>
        <v>521143</v>
      </c>
      <c r="G121" s="814">
        <f>SUM(G122:G127)</f>
        <v>0</v>
      </c>
      <c r="H121" s="815">
        <f>ROUND(G121/F121*100,1)</f>
        <v>0</v>
      </c>
      <c r="I121" s="814">
        <f aca="true" t="shared" si="5" ref="I121:I126">G121-F121</f>
        <v>-521143</v>
      </c>
      <c r="J121" s="816"/>
    </row>
    <row r="122" spans="3:10" ht="12.75">
      <c r="C122" s="818"/>
      <c r="D122" s="739" t="s">
        <v>241</v>
      </c>
      <c r="E122" s="740">
        <f>+E53</f>
        <v>215220</v>
      </c>
      <c r="F122" s="740">
        <f>+F53</f>
        <v>204480</v>
      </c>
      <c r="G122" s="740">
        <f>+G53</f>
        <v>0</v>
      </c>
      <c r="H122" s="741">
        <f>ROUND(G122/F122*100,1)</f>
        <v>0</v>
      </c>
      <c r="I122" s="740">
        <f>G122-F122</f>
        <v>-204480</v>
      </c>
      <c r="J122" s="742"/>
    </row>
    <row r="123" spans="3:10" ht="12.75">
      <c r="C123" s="818"/>
      <c r="D123" s="739" t="s">
        <v>308</v>
      </c>
      <c r="E123" s="740">
        <f aca="true" t="shared" si="6" ref="E123:G127">+E54</f>
        <v>0</v>
      </c>
      <c r="F123" s="740">
        <f t="shared" si="6"/>
        <v>0</v>
      </c>
      <c r="G123" s="740">
        <f t="shared" si="6"/>
        <v>0</v>
      </c>
      <c r="H123" s="741">
        <v>0</v>
      </c>
      <c r="I123" s="740">
        <f>G123-F123</f>
        <v>0</v>
      </c>
      <c r="J123" s="742"/>
    </row>
    <row r="124" spans="3:10" ht="13.5" thickBot="1">
      <c r="C124" s="818"/>
      <c r="D124" s="819" t="s">
        <v>309</v>
      </c>
      <c r="E124" s="820">
        <f t="shared" si="6"/>
        <v>0</v>
      </c>
      <c r="F124" s="820">
        <f t="shared" si="6"/>
        <v>0</v>
      </c>
      <c r="G124" s="820">
        <f t="shared" si="6"/>
        <v>0</v>
      </c>
      <c r="H124" s="821"/>
      <c r="I124" s="820"/>
      <c r="J124" s="742"/>
    </row>
    <row r="125" spans="3:10" ht="12.75">
      <c r="C125" s="818"/>
      <c r="D125" s="823" t="s">
        <v>240</v>
      </c>
      <c r="E125" s="824">
        <f t="shared" si="6"/>
        <v>314080</v>
      </c>
      <c r="F125" s="824">
        <f t="shared" si="6"/>
        <v>316663</v>
      </c>
      <c r="G125" s="824">
        <f t="shared" si="6"/>
        <v>0</v>
      </c>
      <c r="H125" s="825">
        <f>ROUND(G125/F125*100,1)</f>
        <v>0</v>
      </c>
      <c r="I125" s="826">
        <f t="shared" si="5"/>
        <v>-316663</v>
      </c>
      <c r="J125" s="742"/>
    </row>
    <row r="126" spans="3:12" ht="12.75">
      <c r="C126" s="818"/>
      <c r="D126" s="739" t="s">
        <v>310</v>
      </c>
      <c r="E126" s="740">
        <f t="shared" si="6"/>
        <v>0</v>
      </c>
      <c r="F126" s="740">
        <f t="shared" si="6"/>
        <v>0</v>
      </c>
      <c r="G126" s="740">
        <f t="shared" si="6"/>
        <v>0</v>
      </c>
      <c r="H126" s="741">
        <v>0</v>
      </c>
      <c r="I126" s="740">
        <f t="shared" si="5"/>
        <v>0</v>
      </c>
      <c r="J126" s="742"/>
      <c r="K126" s="557"/>
      <c r="L126" s="557"/>
    </row>
    <row r="127" spans="3:10" ht="13.5" thickBot="1">
      <c r="C127" s="818"/>
      <c r="D127" s="833" t="s">
        <v>311</v>
      </c>
      <c r="E127" s="755">
        <f t="shared" si="6"/>
        <v>0</v>
      </c>
      <c r="F127" s="755">
        <f t="shared" si="6"/>
        <v>0</v>
      </c>
      <c r="G127" s="755">
        <f t="shared" si="6"/>
        <v>0</v>
      </c>
      <c r="H127" s="729"/>
      <c r="I127" s="755"/>
      <c r="J127" s="742"/>
    </row>
    <row r="128" spans="3:10" ht="12.75">
      <c r="C128" s="831" t="s">
        <v>188</v>
      </c>
      <c r="D128" s="832" t="s">
        <v>242</v>
      </c>
      <c r="E128" s="814">
        <f>SUM(E129:E134)</f>
        <v>401957</v>
      </c>
      <c r="F128" s="814">
        <f>SUM(F129:F134)</f>
        <v>398457</v>
      </c>
      <c r="G128" s="814">
        <f>SUM(G129:G134)</f>
        <v>0</v>
      </c>
      <c r="H128" s="815">
        <f>ROUND(G128/F128*100,1)</f>
        <v>0</v>
      </c>
      <c r="I128" s="814">
        <f>G128-F128</f>
        <v>-398457</v>
      </c>
      <c r="J128" s="816"/>
    </row>
    <row r="129" spans="3:10" ht="12.75">
      <c r="C129" s="818"/>
      <c r="D129" s="739" t="s">
        <v>241</v>
      </c>
      <c r="E129" s="740">
        <f>+E60</f>
        <v>300025</v>
      </c>
      <c r="F129" s="740">
        <f>+F60</f>
        <v>273225</v>
      </c>
      <c r="G129" s="740">
        <f>+G60</f>
        <v>0</v>
      </c>
      <c r="H129" s="741">
        <f>ROUND(G129/F129*100,1)</f>
        <v>0</v>
      </c>
      <c r="I129" s="740">
        <f>G129-F129</f>
        <v>-273225</v>
      </c>
      <c r="J129" s="742"/>
    </row>
    <row r="130" spans="3:10" ht="12.75">
      <c r="C130" s="818"/>
      <c r="D130" s="739" t="s">
        <v>308</v>
      </c>
      <c r="E130" s="740">
        <f aca="true" t="shared" si="7" ref="E130:G134">+E61</f>
        <v>0</v>
      </c>
      <c r="F130" s="740">
        <f t="shared" si="7"/>
        <v>0</v>
      </c>
      <c r="G130" s="740">
        <f t="shared" si="7"/>
        <v>0</v>
      </c>
      <c r="H130" s="741">
        <v>0</v>
      </c>
      <c r="I130" s="740">
        <f>G130-F130</f>
        <v>0</v>
      </c>
      <c r="J130" s="742"/>
    </row>
    <row r="131" spans="3:10" ht="13.5" thickBot="1">
      <c r="C131" s="818"/>
      <c r="D131" s="819" t="s">
        <v>309</v>
      </c>
      <c r="E131" s="820">
        <f t="shared" si="7"/>
        <v>0</v>
      </c>
      <c r="F131" s="820">
        <f t="shared" si="7"/>
        <v>0</v>
      </c>
      <c r="G131" s="820">
        <f t="shared" si="7"/>
        <v>0</v>
      </c>
      <c r="H131" s="821"/>
      <c r="I131" s="820"/>
      <c r="J131" s="742"/>
    </row>
    <row r="132" spans="3:10" ht="12.75">
      <c r="C132" s="818"/>
      <c r="D132" s="823" t="s">
        <v>240</v>
      </c>
      <c r="E132" s="824">
        <f t="shared" si="7"/>
        <v>101932</v>
      </c>
      <c r="F132" s="824">
        <f t="shared" si="7"/>
        <v>125232</v>
      </c>
      <c r="G132" s="824">
        <f t="shared" si="7"/>
        <v>0</v>
      </c>
      <c r="H132" s="825">
        <f>ROUND(G132/F132*100,1)</f>
        <v>0</v>
      </c>
      <c r="I132" s="826">
        <f>G132-F132</f>
        <v>-125232</v>
      </c>
      <c r="J132" s="816"/>
    </row>
    <row r="133" spans="3:12" ht="12.75">
      <c r="C133" s="818"/>
      <c r="D133" s="739" t="s">
        <v>310</v>
      </c>
      <c r="E133" s="740">
        <f t="shared" si="7"/>
        <v>0</v>
      </c>
      <c r="F133" s="740">
        <f t="shared" si="7"/>
        <v>0</v>
      </c>
      <c r="G133" s="740">
        <f t="shared" si="7"/>
        <v>0</v>
      </c>
      <c r="H133" s="741">
        <v>0</v>
      </c>
      <c r="I133" s="740">
        <f>G133-F133</f>
        <v>0</v>
      </c>
      <c r="J133" s="742"/>
      <c r="K133" s="557"/>
      <c r="L133" s="557"/>
    </row>
    <row r="134" spans="3:10" ht="13.5" thickBot="1">
      <c r="C134" s="818"/>
      <c r="D134" s="833" t="s">
        <v>311</v>
      </c>
      <c r="E134" s="755">
        <f t="shared" si="7"/>
        <v>0</v>
      </c>
      <c r="F134" s="755">
        <f t="shared" si="7"/>
        <v>0</v>
      </c>
      <c r="G134" s="755">
        <f t="shared" si="7"/>
        <v>0</v>
      </c>
      <c r="H134" s="729"/>
      <c r="I134" s="755"/>
      <c r="J134" s="742"/>
    </row>
    <row r="135" spans="3:13" ht="13.5" thickBot="1">
      <c r="C135" s="834" t="s">
        <v>325</v>
      </c>
      <c r="D135" s="835" t="s">
        <v>242</v>
      </c>
      <c r="E135" s="836">
        <f>+E105+E114+E121+E128</f>
        <v>3726838</v>
      </c>
      <c r="F135" s="836">
        <f>+F105+F114+F121+F128</f>
        <v>4054892</v>
      </c>
      <c r="G135" s="836">
        <f>+G105+G114+G121+G128</f>
        <v>539301</v>
      </c>
      <c r="H135" s="796">
        <f>ROUND(G135/F135*100,1)</f>
        <v>13.3</v>
      </c>
      <c r="I135" s="836">
        <f>G135-F135</f>
        <v>-3515591</v>
      </c>
      <c r="J135" s="816"/>
      <c r="M135" s="837"/>
    </row>
    <row r="136" spans="4:9" ht="12.75">
      <c r="D136" s="808"/>
      <c r="E136" s="808"/>
      <c r="F136" s="808"/>
      <c r="G136" s="808"/>
      <c r="H136" s="808"/>
      <c r="I136" s="808"/>
    </row>
    <row r="137" spans="4:9" ht="12.75">
      <c r="D137" s="808"/>
      <c r="E137" s="808"/>
      <c r="F137" s="808"/>
      <c r="G137" s="808"/>
      <c r="H137" s="808"/>
      <c r="I137" s="808"/>
    </row>
    <row r="138" ht="12.75">
      <c r="C138" s="339" t="s">
        <v>326</v>
      </c>
    </row>
    <row r="139" spans="4:10" ht="12.75">
      <c r="D139" s="838" t="s">
        <v>241</v>
      </c>
      <c r="E139" s="557" t="s">
        <v>327</v>
      </c>
      <c r="H139" s="339"/>
      <c r="I139" s="557"/>
      <c r="J139" s="839"/>
    </row>
    <row r="140" spans="4:10" ht="12.75">
      <c r="D140" s="838" t="s">
        <v>328</v>
      </c>
      <c r="E140" s="557" t="s">
        <v>329</v>
      </c>
      <c r="H140" s="339"/>
      <c r="I140" s="557"/>
      <c r="J140" s="839"/>
    </row>
    <row r="141" spans="4:10" ht="12.75">
      <c r="D141" s="838" t="s">
        <v>330</v>
      </c>
      <c r="E141" s="557" t="s">
        <v>331</v>
      </c>
      <c r="G141" s="840"/>
      <c r="H141" s="840"/>
      <c r="J141" s="808"/>
    </row>
    <row r="142" spans="4:10" ht="12.75">
      <c r="D142" s="838" t="s">
        <v>332</v>
      </c>
      <c r="E142" s="557" t="s">
        <v>333</v>
      </c>
      <c r="G142" s="840"/>
      <c r="H142" s="840"/>
      <c r="J142" s="808"/>
    </row>
    <row r="143" spans="4:10" ht="12.75">
      <c r="D143" s="838"/>
      <c r="J143" s="808"/>
    </row>
    <row r="144" ht="12.75">
      <c r="C144" s="558">
        <v>40192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2" horizontalDpi="600" verticalDpi="600" orientation="portrait" paperSize="9" scale="88" r:id="rId1"/>
  <headerFooter alignWithMargins="0">
    <oddHeader>&amp;RPříloha č. 2 k č.j. 48/16 511/2010-482</oddHeader>
  </headerFooter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67">
      <selection activeCell="I94" sqref="I94"/>
    </sheetView>
  </sheetViews>
  <sheetFormatPr defaultColWidth="9.125" defaultRowHeight="12.75"/>
  <cols>
    <col min="1" max="1" width="10.00390625" style="339" customWidth="1"/>
    <col min="2" max="2" width="11.125" style="339" customWidth="1"/>
    <col min="3" max="16384" width="9.625" style="339" customWidth="1"/>
  </cols>
  <sheetData>
    <row r="1" spans="1:15" ht="15.75">
      <c r="A1" s="965" t="s">
        <v>169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338"/>
    </row>
    <row r="2" spans="1:15" ht="11.25" customHeight="1" thickBo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40" t="s">
        <v>105</v>
      </c>
      <c r="O2" s="338"/>
    </row>
    <row r="3" spans="1:15" ht="13.5" thickBot="1">
      <c r="A3" s="341" t="s">
        <v>170</v>
      </c>
      <c r="B3" s="342" t="s">
        <v>171</v>
      </c>
      <c r="C3" s="967" t="s">
        <v>172</v>
      </c>
      <c r="D3" s="967"/>
      <c r="E3" s="967"/>
      <c r="F3" s="968"/>
      <c r="G3" s="969" t="s">
        <v>173</v>
      </c>
      <c r="H3" s="970"/>
      <c r="I3" s="970"/>
      <c r="J3" s="971"/>
      <c r="K3" s="969" t="s">
        <v>174</v>
      </c>
      <c r="L3" s="970"/>
      <c r="M3" s="970"/>
      <c r="N3" s="971"/>
      <c r="O3" s="338"/>
    </row>
    <row r="4" spans="1:15" ht="12.75">
      <c r="A4" s="343" t="s">
        <v>175</v>
      </c>
      <c r="B4" s="344" t="s">
        <v>176</v>
      </c>
      <c r="C4" s="345" t="s">
        <v>177</v>
      </c>
      <c r="D4" s="346" t="s">
        <v>178</v>
      </c>
      <c r="E4" s="346" t="s">
        <v>179</v>
      </c>
      <c r="F4" s="347" t="s">
        <v>180</v>
      </c>
      <c r="G4" s="345" t="s">
        <v>177</v>
      </c>
      <c r="H4" s="346" t="s">
        <v>178</v>
      </c>
      <c r="I4" s="346" t="s">
        <v>179</v>
      </c>
      <c r="J4" s="347" t="s">
        <v>180</v>
      </c>
      <c r="K4" s="345" t="s">
        <v>177</v>
      </c>
      <c r="L4" s="346" t="s">
        <v>178</v>
      </c>
      <c r="M4" s="346" t="s">
        <v>179</v>
      </c>
      <c r="N4" s="347" t="s">
        <v>180</v>
      </c>
      <c r="O4" s="338"/>
    </row>
    <row r="5" spans="1:15" ht="13.5" thickBot="1">
      <c r="A5" s="343" t="s">
        <v>181</v>
      </c>
      <c r="B5" s="348" t="s">
        <v>182</v>
      </c>
      <c r="C5" s="349"/>
      <c r="D5" s="350" t="s">
        <v>103</v>
      </c>
      <c r="E5" s="350" t="s">
        <v>103</v>
      </c>
      <c r="F5" s="351" t="s">
        <v>183</v>
      </c>
      <c r="G5" s="349"/>
      <c r="H5" s="350" t="s">
        <v>103</v>
      </c>
      <c r="I5" s="350" t="s">
        <v>103</v>
      </c>
      <c r="J5" s="351" t="s">
        <v>183</v>
      </c>
      <c r="K5" s="349"/>
      <c r="L5" s="350" t="s">
        <v>103</v>
      </c>
      <c r="M5" s="350" t="s">
        <v>103</v>
      </c>
      <c r="N5" s="352" t="s">
        <v>183</v>
      </c>
      <c r="O5" s="338"/>
    </row>
    <row r="6" spans="1:15" ht="12.75">
      <c r="A6" s="353">
        <v>112011</v>
      </c>
      <c r="B6" s="354" t="s">
        <v>184</v>
      </c>
      <c r="C6" s="355">
        <v>337222</v>
      </c>
      <c r="D6" s="356">
        <v>370615</v>
      </c>
      <c r="E6" s="355"/>
      <c r="F6" s="357">
        <f>E6/D6*100</f>
        <v>0</v>
      </c>
      <c r="G6" s="358">
        <v>131623</v>
      </c>
      <c r="H6" s="356">
        <v>167560</v>
      </c>
      <c r="I6" s="356"/>
      <c r="J6" s="359">
        <f>I6/H6*100</f>
        <v>0</v>
      </c>
      <c r="K6" s="355">
        <f aca="true" t="shared" si="0" ref="K6:M14">C6+G6</f>
        <v>468845</v>
      </c>
      <c r="L6" s="356">
        <f t="shared" si="0"/>
        <v>538175</v>
      </c>
      <c r="M6" s="356">
        <f t="shared" si="0"/>
        <v>0</v>
      </c>
      <c r="N6" s="360">
        <f>M6/L6*100</f>
        <v>0</v>
      </c>
      <c r="O6" s="338"/>
    </row>
    <row r="7" spans="1:15" ht="12.75">
      <c r="A7" s="361">
        <v>112090</v>
      </c>
      <c r="B7" s="362" t="s">
        <v>184</v>
      </c>
      <c r="C7" s="363">
        <v>915852</v>
      </c>
      <c r="D7" s="364">
        <v>68682</v>
      </c>
      <c r="E7" s="363"/>
      <c r="F7" s="365">
        <f>E7/D7*100</f>
        <v>0</v>
      </c>
      <c r="G7" s="366">
        <v>126600</v>
      </c>
      <c r="H7" s="364">
        <v>1017289</v>
      </c>
      <c r="I7" s="364"/>
      <c r="J7" s="367">
        <f>I7/H7*100</f>
        <v>0</v>
      </c>
      <c r="K7" s="363">
        <f t="shared" si="0"/>
        <v>1042452</v>
      </c>
      <c r="L7" s="364">
        <f t="shared" si="0"/>
        <v>1085971</v>
      </c>
      <c r="M7" s="364">
        <f t="shared" si="0"/>
        <v>0</v>
      </c>
      <c r="N7" s="368">
        <f>M7/L7*100</f>
        <v>0</v>
      </c>
      <c r="O7" s="338"/>
    </row>
    <row r="8" spans="1:15" ht="12.75">
      <c r="A8" s="369">
        <v>112111</v>
      </c>
      <c r="B8" s="370" t="s">
        <v>185</v>
      </c>
      <c r="C8" s="371">
        <v>40000</v>
      </c>
      <c r="D8" s="372">
        <v>0</v>
      </c>
      <c r="E8" s="371"/>
      <c r="F8" s="373"/>
      <c r="G8" s="374">
        <v>24185</v>
      </c>
      <c r="H8" s="372">
        <v>0</v>
      </c>
      <c r="I8" s="372"/>
      <c r="J8" s="375"/>
      <c r="K8" s="371">
        <f t="shared" si="0"/>
        <v>64185</v>
      </c>
      <c r="L8" s="372">
        <f t="shared" si="0"/>
        <v>0</v>
      </c>
      <c r="M8" s="372"/>
      <c r="N8" s="376"/>
      <c r="O8" s="338"/>
    </row>
    <row r="9" spans="1:15" ht="12.75">
      <c r="A9" s="369">
        <v>112111</v>
      </c>
      <c r="B9" s="370" t="s">
        <v>186</v>
      </c>
      <c r="C9" s="371">
        <v>228746</v>
      </c>
      <c r="D9" s="372">
        <v>284463</v>
      </c>
      <c r="E9" s="371">
        <v>288544</v>
      </c>
      <c r="F9" s="373">
        <f aca="true" t="shared" si="1" ref="F9:F15">E9/D9*100</f>
        <v>101.43463297511452</v>
      </c>
      <c r="G9" s="374">
        <v>113899</v>
      </c>
      <c r="H9" s="372">
        <v>115529</v>
      </c>
      <c r="I9" s="372">
        <v>115763</v>
      </c>
      <c r="J9" s="375">
        <f aca="true" t="shared" si="2" ref="J9:J15">I9/H9*100</f>
        <v>100.20254654675449</v>
      </c>
      <c r="K9" s="374">
        <f t="shared" si="0"/>
        <v>342645</v>
      </c>
      <c r="L9" s="372">
        <f t="shared" si="0"/>
        <v>399992</v>
      </c>
      <c r="M9" s="372">
        <f t="shared" si="0"/>
        <v>404307</v>
      </c>
      <c r="N9" s="376">
        <f aca="true" t="shared" si="3" ref="N9:N15">M9/L9*100</f>
        <v>101.0787715754315</v>
      </c>
      <c r="O9" s="338"/>
    </row>
    <row r="10" spans="1:15" ht="12.75">
      <c r="A10" s="377">
        <v>112112</v>
      </c>
      <c r="B10" s="378" t="s">
        <v>185</v>
      </c>
      <c r="C10" s="379">
        <v>265128</v>
      </c>
      <c r="D10" s="380">
        <v>258209</v>
      </c>
      <c r="E10" s="379"/>
      <c r="F10" s="381">
        <f t="shared" si="1"/>
        <v>0</v>
      </c>
      <c r="G10" s="382">
        <v>254872</v>
      </c>
      <c r="H10" s="380">
        <v>407891</v>
      </c>
      <c r="I10" s="380"/>
      <c r="J10" s="383">
        <f t="shared" si="2"/>
        <v>0</v>
      </c>
      <c r="K10" s="382">
        <f t="shared" si="0"/>
        <v>520000</v>
      </c>
      <c r="L10" s="380">
        <f t="shared" si="0"/>
        <v>666100</v>
      </c>
      <c r="M10" s="380">
        <f t="shared" si="0"/>
        <v>0</v>
      </c>
      <c r="N10" s="384">
        <f t="shared" si="3"/>
        <v>0</v>
      </c>
      <c r="O10" s="338"/>
    </row>
    <row r="11" spans="1:15" ht="12.75">
      <c r="A11" s="377">
        <v>112110</v>
      </c>
      <c r="B11" s="385" t="s">
        <v>174</v>
      </c>
      <c r="C11" s="386">
        <f>C8+C9+C10</f>
        <v>533874</v>
      </c>
      <c r="D11" s="387">
        <f>D8+D9+D10</f>
        <v>542672</v>
      </c>
      <c r="E11" s="388">
        <f>E9+E10</f>
        <v>288544</v>
      </c>
      <c r="F11" s="389">
        <f t="shared" si="1"/>
        <v>53.17097620662204</v>
      </c>
      <c r="G11" s="390">
        <f>G8+G9+G10</f>
        <v>392956</v>
      </c>
      <c r="H11" s="388">
        <f>H9+H10</f>
        <v>523420</v>
      </c>
      <c r="I11" s="388">
        <f>I9+I10</f>
        <v>115763</v>
      </c>
      <c r="J11" s="391">
        <f t="shared" si="2"/>
        <v>22.116655840434067</v>
      </c>
      <c r="K11" s="390">
        <f t="shared" si="0"/>
        <v>926830</v>
      </c>
      <c r="L11" s="388">
        <f t="shared" si="0"/>
        <v>1066092</v>
      </c>
      <c r="M11" s="388">
        <f t="shared" si="0"/>
        <v>404307</v>
      </c>
      <c r="N11" s="392">
        <f t="shared" si="3"/>
        <v>37.92421291971049</v>
      </c>
      <c r="O11" s="338"/>
    </row>
    <row r="12" spans="1:15" ht="12.75">
      <c r="A12" s="393">
        <v>112211</v>
      </c>
      <c r="B12" s="394" t="s">
        <v>187</v>
      </c>
      <c r="C12" s="371">
        <v>215220</v>
      </c>
      <c r="D12" s="372">
        <v>204480</v>
      </c>
      <c r="E12" s="371"/>
      <c r="F12" s="373">
        <f t="shared" si="1"/>
        <v>0</v>
      </c>
      <c r="G12" s="374">
        <v>175080</v>
      </c>
      <c r="H12" s="372">
        <v>180503</v>
      </c>
      <c r="I12" s="372"/>
      <c r="J12" s="375">
        <f t="shared" si="2"/>
        <v>0</v>
      </c>
      <c r="K12" s="374">
        <f t="shared" si="0"/>
        <v>390300</v>
      </c>
      <c r="L12" s="372">
        <f t="shared" si="0"/>
        <v>384983</v>
      </c>
      <c r="M12" s="372">
        <f t="shared" si="0"/>
        <v>0</v>
      </c>
      <c r="N12" s="376">
        <f t="shared" si="3"/>
        <v>0</v>
      </c>
      <c r="O12" s="338"/>
    </row>
    <row r="13" spans="1:15" ht="12.75">
      <c r="A13" s="393">
        <v>112311</v>
      </c>
      <c r="B13" s="394" t="s">
        <v>188</v>
      </c>
      <c r="C13" s="371">
        <v>300025</v>
      </c>
      <c r="D13" s="372">
        <v>273225</v>
      </c>
      <c r="E13" s="371"/>
      <c r="F13" s="373">
        <f t="shared" si="1"/>
        <v>0</v>
      </c>
      <c r="G13" s="374">
        <v>29932</v>
      </c>
      <c r="H13" s="372">
        <v>82082</v>
      </c>
      <c r="I13" s="372"/>
      <c r="J13" s="375">
        <f t="shared" si="2"/>
        <v>0</v>
      </c>
      <c r="K13" s="374">
        <f t="shared" si="0"/>
        <v>329957</v>
      </c>
      <c r="L13" s="372">
        <f t="shared" si="0"/>
        <v>355307</v>
      </c>
      <c r="M13" s="372">
        <f t="shared" si="0"/>
        <v>0</v>
      </c>
      <c r="N13" s="376">
        <f t="shared" si="3"/>
        <v>0</v>
      </c>
      <c r="O13" s="338"/>
    </row>
    <row r="14" spans="1:15" ht="13.5" thickBot="1">
      <c r="A14" s="395">
        <v>212910</v>
      </c>
      <c r="B14" s="396" t="s">
        <v>184</v>
      </c>
      <c r="C14" s="355">
        <v>28175</v>
      </c>
      <c r="D14" s="397">
        <v>25969</v>
      </c>
      <c r="E14" s="398"/>
      <c r="F14" s="399">
        <f t="shared" si="1"/>
        <v>0</v>
      </c>
      <c r="G14" s="400">
        <v>31825</v>
      </c>
      <c r="H14" s="397">
        <v>31031</v>
      </c>
      <c r="I14" s="397"/>
      <c r="J14" s="401">
        <f t="shared" si="2"/>
        <v>0</v>
      </c>
      <c r="K14" s="355">
        <f t="shared" si="0"/>
        <v>60000</v>
      </c>
      <c r="L14" s="397">
        <f t="shared" si="0"/>
        <v>57000</v>
      </c>
      <c r="M14" s="397">
        <f t="shared" si="0"/>
        <v>0</v>
      </c>
      <c r="N14" s="360">
        <f t="shared" si="3"/>
        <v>0</v>
      </c>
      <c r="O14" s="338"/>
    </row>
    <row r="15" spans="1:15" ht="13.5" thickBot="1">
      <c r="A15" s="972" t="s">
        <v>189</v>
      </c>
      <c r="B15" s="973"/>
      <c r="C15" s="402">
        <f>C6+C7+C11+C12+C13+C14</f>
        <v>2330368</v>
      </c>
      <c r="D15" s="403">
        <f>D6+D7+D11+D12+D13+D14</f>
        <v>1485643</v>
      </c>
      <c r="E15" s="403">
        <f>E6+E7+E11+E12+E13+E14</f>
        <v>288544</v>
      </c>
      <c r="F15" s="404">
        <f t="shared" si="1"/>
        <v>19.4221626595353</v>
      </c>
      <c r="G15" s="405">
        <f>G6+G7+G11+G12+G13+G14</f>
        <v>888016</v>
      </c>
      <c r="H15" s="405">
        <f>H6+H7+H11+H12+H13+H14</f>
        <v>2001885</v>
      </c>
      <c r="I15" s="405">
        <f>I6+I7+I11+I12+I13+I14</f>
        <v>115763</v>
      </c>
      <c r="J15" s="404">
        <f t="shared" si="2"/>
        <v>5.78269980543338</v>
      </c>
      <c r="K15" s="402">
        <f>K6+K7+K11+K12+K13+K14</f>
        <v>3218384</v>
      </c>
      <c r="L15" s="403">
        <f>L6+L7+L11+L12+L13+L14</f>
        <v>3487528</v>
      </c>
      <c r="M15" s="406">
        <f>M6+M7+M11+M12+M13+M14</f>
        <v>404307</v>
      </c>
      <c r="N15" s="407">
        <f t="shared" si="3"/>
        <v>11.592939182137032</v>
      </c>
      <c r="O15" s="338"/>
    </row>
    <row r="16" spans="1:15" ht="4.5" customHeight="1">
      <c r="A16" s="408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10"/>
      <c r="O16" s="338"/>
    </row>
    <row r="17" spans="1:15" ht="15.75">
      <c r="A17" s="974" t="s">
        <v>190</v>
      </c>
      <c r="B17" s="975"/>
      <c r="C17" s="97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411"/>
    </row>
    <row r="18" spans="1:15" ht="3.75" customHeight="1" thickBot="1">
      <c r="A18" s="338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</row>
    <row r="19" spans="1:15" ht="13.5" thickBot="1">
      <c r="A19" s="342" t="s">
        <v>170</v>
      </c>
      <c r="B19" s="412"/>
      <c r="C19" s="953" t="s">
        <v>172</v>
      </c>
      <c r="D19" s="967"/>
      <c r="E19" s="967"/>
      <c r="F19" s="968"/>
      <c r="G19" s="969" t="s">
        <v>173</v>
      </c>
      <c r="H19" s="970"/>
      <c r="I19" s="970"/>
      <c r="J19" s="971"/>
      <c r="K19" s="969" t="s">
        <v>174</v>
      </c>
      <c r="L19" s="970"/>
      <c r="M19" s="970"/>
      <c r="N19" s="971"/>
      <c r="O19" s="338"/>
    </row>
    <row r="20" spans="1:15" ht="12.75">
      <c r="A20" s="413" t="s">
        <v>175</v>
      </c>
      <c r="B20" s="343" t="s">
        <v>184</v>
      </c>
      <c r="C20" s="341" t="s">
        <v>177</v>
      </c>
      <c r="D20" s="346" t="s">
        <v>178</v>
      </c>
      <c r="E20" s="414" t="s">
        <v>179</v>
      </c>
      <c r="F20" s="347" t="s">
        <v>180</v>
      </c>
      <c r="G20" s="345" t="s">
        <v>177</v>
      </c>
      <c r="H20" s="346" t="s">
        <v>178</v>
      </c>
      <c r="I20" s="346" t="s">
        <v>179</v>
      </c>
      <c r="J20" s="347" t="s">
        <v>180</v>
      </c>
      <c r="K20" s="341" t="s">
        <v>177</v>
      </c>
      <c r="L20" s="346" t="s">
        <v>178</v>
      </c>
      <c r="M20" s="346" t="s">
        <v>179</v>
      </c>
      <c r="N20" s="347" t="s">
        <v>180</v>
      </c>
      <c r="O20" s="338"/>
    </row>
    <row r="21" spans="1:15" ht="13.5" thickBot="1">
      <c r="A21" s="413" t="s">
        <v>181</v>
      </c>
      <c r="B21" s="396"/>
      <c r="C21" s="415"/>
      <c r="D21" s="350" t="s">
        <v>103</v>
      </c>
      <c r="E21" s="350" t="s">
        <v>103</v>
      </c>
      <c r="F21" s="352" t="s">
        <v>183</v>
      </c>
      <c r="G21" s="416"/>
      <c r="H21" s="350" t="s">
        <v>103</v>
      </c>
      <c r="I21" s="350" t="s">
        <v>103</v>
      </c>
      <c r="J21" s="352" t="s">
        <v>183</v>
      </c>
      <c r="K21" s="415"/>
      <c r="L21" s="350" t="s">
        <v>103</v>
      </c>
      <c r="M21" s="350" t="s">
        <v>103</v>
      </c>
      <c r="N21" s="352" t="s">
        <v>183</v>
      </c>
      <c r="O21" s="338"/>
    </row>
    <row r="22" spans="1:15" ht="12.75">
      <c r="A22" s="417" t="s">
        <v>191</v>
      </c>
      <c r="B22" s="418" t="s">
        <v>184</v>
      </c>
      <c r="C22" s="419"/>
      <c r="D22" s="420"/>
      <c r="E22" s="421"/>
      <c r="F22" s="422"/>
      <c r="G22" s="419">
        <v>91006</v>
      </c>
      <c r="H22" s="420">
        <v>62737</v>
      </c>
      <c r="I22" s="356"/>
      <c r="J22" s="423">
        <f aca="true" t="shared" si="4" ref="J22:J28">I22/H22*100</f>
        <v>0</v>
      </c>
      <c r="K22" s="424">
        <f aca="true" t="shared" si="5" ref="K22:M27">G22+C22</f>
        <v>91006</v>
      </c>
      <c r="L22" s="425">
        <f t="shared" si="5"/>
        <v>62737</v>
      </c>
      <c r="M22" s="425">
        <f t="shared" si="5"/>
        <v>0</v>
      </c>
      <c r="N22" s="423">
        <f aca="true" t="shared" si="6" ref="N22:N28">M22/L22*100</f>
        <v>0</v>
      </c>
      <c r="O22" s="338"/>
    </row>
    <row r="23" spans="1:15" ht="12.75">
      <c r="A23" s="426" t="s">
        <v>192</v>
      </c>
      <c r="B23" s="427" t="s">
        <v>184</v>
      </c>
      <c r="C23" s="428"/>
      <c r="D23" s="429"/>
      <c r="E23" s="430"/>
      <c r="F23" s="431"/>
      <c r="G23" s="428">
        <v>27900</v>
      </c>
      <c r="H23" s="429">
        <v>17700</v>
      </c>
      <c r="I23" s="429"/>
      <c r="J23" s="432">
        <f t="shared" si="4"/>
        <v>0</v>
      </c>
      <c r="K23" s="428">
        <f t="shared" si="5"/>
        <v>27900</v>
      </c>
      <c r="L23" s="429">
        <f t="shared" si="5"/>
        <v>17700</v>
      </c>
      <c r="M23" s="429">
        <f t="shared" si="5"/>
        <v>0</v>
      </c>
      <c r="N23" s="432">
        <f t="shared" si="6"/>
        <v>0</v>
      </c>
      <c r="O23" s="338"/>
    </row>
    <row r="24" spans="1:15" ht="12.75">
      <c r="A24" s="426" t="s">
        <v>193</v>
      </c>
      <c r="B24" s="427" t="s">
        <v>184</v>
      </c>
      <c r="C24" s="428"/>
      <c r="D24" s="429"/>
      <c r="E24" s="430"/>
      <c r="F24" s="431"/>
      <c r="G24" s="428">
        <v>1600</v>
      </c>
      <c r="H24" s="429">
        <v>4575</v>
      </c>
      <c r="I24" s="429"/>
      <c r="J24" s="432">
        <f t="shared" si="4"/>
        <v>0</v>
      </c>
      <c r="K24" s="428">
        <f t="shared" si="5"/>
        <v>1600</v>
      </c>
      <c r="L24" s="429">
        <f t="shared" si="5"/>
        <v>4575</v>
      </c>
      <c r="M24" s="429">
        <f t="shared" si="5"/>
        <v>0</v>
      </c>
      <c r="N24" s="432">
        <f t="shared" si="6"/>
        <v>0</v>
      </c>
      <c r="O24" s="338"/>
    </row>
    <row r="25" spans="1:15" ht="12.75">
      <c r="A25" s="426" t="s">
        <v>194</v>
      </c>
      <c r="B25" s="427" t="s">
        <v>184</v>
      </c>
      <c r="C25" s="428"/>
      <c r="D25" s="429"/>
      <c r="E25" s="430"/>
      <c r="F25" s="431"/>
      <c r="G25" s="428">
        <v>8100</v>
      </c>
      <c r="H25" s="429">
        <v>34794</v>
      </c>
      <c r="I25" s="429"/>
      <c r="J25" s="432">
        <f t="shared" si="4"/>
        <v>0</v>
      </c>
      <c r="K25" s="428">
        <f t="shared" si="5"/>
        <v>8100</v>
      </c>
      <c r="L25" s="429">
        <f t="shared" si="5"/>
        <v>34794</v>
      </c>
      <c r="M25" s="429">
        <f t="shared" si="5"/>
        <v>0</v>
      </c>
      <c r="N25" s="432">
        <f t="shared" si="6"/>
        <v>0</v>
      </c>
      <c r="O25" s="338"/>
    </row>
    <row r="26" spans="1:15" ht="12.75">
      <c r="A26" s="426" t="s">
        <v>195</v>
      </c>
      <c r="B26" s="427" t="s">
        <v>184</v>
      </c>
      <c r="C26" s="428"/>
      <c r="D26" s="429"/>
      <c r="E26" s="430"/>
      <c r="F26" s="431"/>
      <c r="G26" s="428">
        <v>3300</v>
      </c>
      <c r="H26" s="429">
        <v>15350</v>
      </c>
      <c r="I26" s="429"/>
      <c r="J26" s="432">
        <f t="shared" si="4"/>
        <v>0</v>
      </c>
      <c r="K26" s="428">
        <f t="shared" si="5"/>
        <v>3300</v>
      </c>
      <c r="L26" s="429">
        <f t="shared" si="5"/>
        <v>15350</v>
      </c>
      <c r="M26" s="429">
        <f t="shared" si="5"/>
        <v>0</v>
      </c>
      <c r="N26" s="432">
        <f t="shared" si="6"/>
        <v>0</v>
      </c>
      <c r="O26" s="338"/>
    </row>
    <row r="27" spans="1:15" ht="12.75">
      <c r="A27" s="426" t="s">
        <v>196</v>
      </c>
      <c r="B27" s="427" t="s">
        <v>184</v>
      </c>
      <c r="C27" s="428"/>
      <c r="D27" s="429"/>
      <c r="E27" s="430"/>
      <c r="F27" s="431"/>
      <c r="G27" s="428">
        <v>3124</v>
      </c>
      <c r="H27" s="429">
        <v>1409</v>
      </c>
      <c r="I27" s="429"/>
      <c r="J27" s="432">
        <f t="shared" si="4"/>
        <v>0</v>
      </c>
      <c r="K27" s="428">
        <f>G27+C27</f>
        <v>3124</v>
      </c>
      <c r="L27" s="429">
        <f>H27+D27</f>
        <v>1409</v>
      </c>
      <c r="M27" s="425">
        <f t="shared" si="5"/>
        <v>0</v>
      </c>
      <c r="N27" s="432">
        <f t="shared" si="6"/>
        <v>0</v>
      </c>
      <c r="O27" s="338"/>
    </row>
    <row r="28" spans="1:15" ht="12.75">
      <c r="A28" s="426">
        <v>112012</v>
      </c>
      <c r="B28" s="433" t="s">
        <v>174</v>
      </c>
      <c r="C28" s="434">
        <f>C22+C23+C24+C25+C26+C27</f>
        <v>0</v>
      </c>
      <c r="D28" s="387">
        <f>D22+D23+D24+D25+D26+D27</f>
        <v>0</v>
      </c>
      <c r="E28" s="435">
        <f>E22+E23+E24+E25+E26+E27</f>
        <v>0</v>
      </c>
      <c r="F28" s="431"/>
      <c r="G28" s="436">
        <f>SUM(G22:G27)</f>
        <v>135030</v>
      </c>
      <c r="H28" s="387">
        <f>SUM(H22:H27)</f>
        <v>136565</v>
      </c>
      <c r="I28" s="387">
        <f>SUM(I22:I27)</f>
        <v>0</v>
      </c>
      <c r="J28" s="437">
        <f t="shared" si="4"/>
        <v>0</v>
      </c>
      <c r="K28" s="434">
        <f>G28+C28</f>
        <v>135030</v>
      </c>
      <c r="L28" s="387">
        <f>H28+D28</f>
        <v>136565</v>
      </c>
      <c r="M28" s="387">
        <f>I28+E28</f>
        <v>0</v>
      </c>
      <c r="N28" s="437">
        <f t="shared" si="6"/>
        <v>0</v>
      </c>
      <c r="O28" s="338"/>
    </row>
    <row r="29" spans="1:15" ht="13.5" thickBot="1">
      <c r="A29" s="426">
        <v>112120</v>
      </c>
      <c r="B29" s="438" t="s">
        <v>197</v>
      </c>
      <c r="C29" s="428"/>
      <c r="D29" s="429"/>
      <c r="E29" s="429"/>
      <c r="F29" s="431"/>
      <c r="G29" s="430">
        <v>55114</v>
      </c>
      <c r="H29" s="429">
        <v>0</v>
      </c>
      <c r="I29" s="429"/>
      <c r="J29" s="432"/>
      <c r="K29" s="428">
        <f>G29+C29</f>
        <v>55114</v>
      </c>
      <c r="L29" s="429">
        <f>H29</f>
        <v>0</v>
      </c>
      <c r="M29" s="429"/>
      <c r="N29" s="432"/>
      <c r="O29" s="338"/>
    </row>
    <row r="30" spans="1:15" ht="13.5" thickBot="1">
      <c r="A30" s="439" t="s">
        <v>198</v>
      </c>
      <c r="B30" s="440"/>
      <c r="C30" s="441">
        <f>C28+C29</f>
        <v>0</v>
      </c>
      <c r="D30" s="442">
        <f>D28+D29</f>
        <v>0</v>
      </c>
      <c r="E30" s="442">
        <f>E28+E29</f>
        <v>0</v>
      </c>
      <c r="F30" s="443"/>
      <c r="G30" s="406">
        <f>G28+G29</f>
        <v>190144</v>
      </c>
      <c r="H30" s="403">
        <f>H28+H29</f>
        <v>136565</v>
      </c>
      <c r="I30" s="403">
        <f>I28+I29</f>
        <v>0</v>
      </c>
      <c r="J30" s="404">
        <f>I30/H30*100</f>
        <v>0</v>
      </c>
      <c r="K30" s="402">
        <f>K28+K29</f>
        <v>190144</v>
      </c>
      <c r="L30" s="403">
        <f>L28+L29</f>
        <v>136565</v>
      </c>
      <c r="M30" s="403">
        <f>M28+M29</f>
        <v>0</v>
      </c>
      <c r="N30" s="404">
        <f>M30/L30*100</f>
        <v>0</v>
      </c>
      <c r="O30" s="338"/>
    </row>
    <row r="31" spans="1:15" ht="12.75">
      <c r="A31" s="361">
        <v>112010</v>
      </c>
      <c r="B31" s="362" t="s">
        <v>184</v>
      </c>
      <c r="C31" s="363">
        <f>C6+C28</f>
        <v>337222</v>
      </c>
      <c r="D31" s="364">
        <f>D6+D28</f>
        <v>370615</v>
      </c>
      <c r="E31" s="363">
        <f>E6+E28</f>
        <v>0</v>
      </c>
      <c r="F31" s="365">
        <f>E31/D31*100</f>
        <v>0</v>
      </c>
      <c r="G31" s="366">
        <f>G6+G28</f>
        <v>266653</v>
      </c>
      <c r="H31" s="364">
        <f>H6+H28</f>
        <v>304125</v>
      </c>
      <c r="I31" s="364">
        <f>I6+I28</f>
        <v>0</v>
      </c>
      <c r="J31" s="444">
        <f>I31/H31*100</f>
        <v>0</v>
      </c>
      <c r="K31" s="363">
        <f>K6+K28</f>
        <v>603875</v>
      </c>
      <c r="L31" s="356">
        <f>L6+L28</f>
        <v>674740</v>
      </c>
      <c r="M31" s="364">
        <f>E31+I31</f>
        <v>0</v>
      </c>
      <c r="N31" s="368">
        <f>M31/L31*100</f>
        <v>0</v>
      </c>
      <c r="O31" s="338"/>
    </row>
    <row r="32" spans="1:15" ht="12.75">
      <c r="A32" s="445">
        <v>112090</v>
      </c>
      <c r="B32" s="446" t="s">
        <v>184</v>
      </c>
      <c r="C32" s="447">
        <v>915852</v>
      </c>
      <c r="D32" s="448">
        <f>D7</f>
        <v>68682</v>
      </c>
      <c r="E32" s="448">
        <f>E7</f>
        <v>0</v>
      </c>
      <c r="F32" s="449">
        <f>E32/D32*100</f>
        <v>0</v>
      </c>
      <c r="G32" s="450">
        <v>126600</v>
      </c>
      <c r="H32" s="448">
        <f>H7</f>
        <v>1017289</v>
      </c>
      <c r="I32" s="448">
        <f>I7</f>
        <v>0</v>
      </c>
      <c r="J32" s="451">
        <f>I32/H32*100</f>
        <v>0</v>
      </c>
      <c r="K32" s="447">
        <f aca="true" t="shared" si="7" ref="K32:M33">C32+G32</f>
        <v>1042452</v>
      </c>
      <c r="L32" s="448">
        <f t="shared" si="7"/>
        <v>1085971</v>
      </c>
      <c r="M32" s="448">
        <f t="shared" si="7"/>
        <v>0</v>
      </c>
      <c r="N32" s="452">
        <f>M32/L32*100</f>
        <v>0</v>
      </c>
      <c r="O32" s="338"/>
    </row>
    <row r="33" spans="1:15" ht="13.5" thickBot="1">
      <c r="A33" s="395">
        <v>212910</v>
      </c>
      <c r="B33" s="396" t="s">
        <v>184</v>
      </c>
      <c r="C33" s="355">
        <v>28175</v>
      </c>
      <c r="D33" s="397">
        <f>D14</f>
        <v>25969</v>
      </c>
      <c r="E33" s="397">
        <f>E14</f>
        <v>0</v>
      </c>
      <c r="F33" s="399">
        <f>E33/D33*100</f>
        <v>0</v>
      </c>
      <c r="G33" s="400">
        <v>31825</v>
      </c>
      <c r="H33" s="397">
        <f>H14</f>
        <v>31031</v>
      </c>
      <c r="I33" s="397">
        <f>I14</f>
        <v>0</v>
      </c>
      <c r="J33" s="401">
        <f>I33/H33*100</f>
        <v>0</v>
      </c>
      <c r="K33" s="355">
        <f t="shared" si="7"/>
        <v>60000</v>
      </c>
      <c r="L33" s="397">
        <f t="shared" si="7"/>
        <v>57000</v>
      </c>
      <c r="M33" s="397">
        <f t="shared" si="7"/>
        <v>0</v>
      </c>
      <c r="N33" s="360">
        <f>M33/L33*100</f>
        <v>0</v>
      </c>
      <c r="O33" s="338"/>
    </row>
    <row r="34" spans="1:15" ht="13.5" thickBot="1">
      <c r="A34" s="972" t="s">
        <v>199</v>
      </c>
      <c r="B34" s="973"/>
      <c r="C34" s="453">
        <f>SUM(C31:C33)</f>
        <v>1281249</v>
      </c>
      <c r="D34" s="403">
        <f>SUM(D31:D33)</f>
        <v>465266</v>
      </c>
      <c r="E34" s="403">
        <f>SUM(E31:E33)</f>
        <v>0</v>
      </c>
      <c r="F34" s="454">
        <f>E34/D34*100</f>
        <v>0</v>
      </c>
      <c r="G34" s="405">
        <f>SUM(G31:G33)</f>
        <v>425078</v>
      </c>
      <c r="H34" s="403">
        <f>SUM(H31:H33)</f>
        <v>1352445</v>
      </c>
      <c r="I34" s="403">
        <f>SUM(I31:I33)</f>
        <v>0</v>
      </c>
      <c r="J34" s="454">
        <f>I34/H34*100</f>
        <v>0</v>
      </c>
      <c r="K34" s="406">
        <f>SUM(K31:K33)</f>
        <v>1706327</v>
      </c>
      <c r="L34" s="403">
        <f>SUM(L31:L33)</f>
        <v>1817711</v>
      </c>
      <c r="M34" s="403">
        <f>SUM(M31:M33)</f>
        <v>0</v>
      </c>
      <c r="N34" s="454">
        <f>M34/L34*100</f>
        <v>0</v>
      </c>
      <c r="O34" s="411"/>
    </row>
    <row r="35" spans="1:15" ht="12.75">
      <c r="A35" s="369">
        <v>112111</v>
      </c>
      <c r="B35" s="370" t="s">
        <v>185</v>
      </c>
      <c r="C35" s="455">
        <v>40000</v>
      </c>
      <c r="D35" s="372">
        <f>D8</f>
        <v>0</v>
      </c>
      <c r="E35" s="372">
        <f>E8</f>
        <v>0</v>
      </c>
      <c r="F35" s="456"/>
      <c r="G35" s="455">
        <v>24185</v>
      </c>
      <c r="H35" s="372"/>
      <c r="I35" s="372"/>
      <c r="J35" s="457"/>
      <c r="K35" s="371">
        <f>C35+G35</f>
        <v>64185</v>
      </c>
      <c r="L35" s="372">
        <f>D35+H35</f>
        <v>0</v>
      </c>
      <c r="M35" s="372"/>
      <c r="N35" s="376"/>
      <c r="O35" s="338"/>
    </row>
    <row r="36" spans="1:15" ht="13.5" thickBot="1">
      <c r="A36" s="377">
        <v>112112</v>
      </c>
      <c r="B36" s="378" t="s">
        <v>185</v>
      </c>
      <c r="C36" s="458">
        <v>265128</v>
      </c>
      <c r="D36" s="380">
        <f>D10</f>
        <v>258209</v>
      </c>
      <c r="E36" s="380">
        <f>E10</f>
        <v>0</v>
      </c>
      <c r="F36" s="459">
        <f>E36/D36*100</f>
        <v>0</v>
      </c>
      <c r="G36" s="458">
        <v>254872</v>
      </c>
      <c r="H36" s="380">
        <f>H10</f>
        <v>407891</v>
      </c>
      <c r="I36" s="380">
        <f>I10</f>
        <v>0</v>
      </c>
      <c r="J36" s="460">
        <f>I36/H36*100</f>
        <v>0</v>
      </c>
      <c r="K36" s="382">
        <f>C36+G36</f>
        <v>520000</v>
      </c>
      <c r="L36" s="380">
        <f>D36+H36</f>
        <v>666100</v>
      </c>
      <c r="M36" s="380">
        <f>E36+I36</f>
        <v>0</v>
      </c>
      <c r="N36" s="384">
        <f>M36/L36*100</f>
        <v>0</v>
      </c>
      <c r="O36" s="338"/>
    </row>
    <row r="37" spans="1:15" ht="13.5" thickBot="1">
      <c r="A37" s="972" t="s">
        <v>199</v>
      </c>
      <c r="B37" s="973"/>
      <c r="C37" s="453">
        <f aca="true" t="shared" si="8" ref="C37:N37">SUM(C34:C36)</f>
        <v>1586377</v>
      </c>
      <c r="D37" s="403">
        <f t="shared" si="8"/>
        <v>723475</v>
      </c>
      <c r="E37" s="403">
        <f t="shared" si="8"/>
        <v>0</v>
      </c>
      <c r="F37" s="461">
        <f t="shared" si="8"/>
        <v>0</v>
      </c>
      <c r="G37" s="405">
        <f t="shared" si="8"/>
        <v>704135</v>
      </c>
      <c r="H37" s="403">
        <f t="shared" si="8"/>
        <v>1760336</v>
      </c>
      <c r="I37" s="403">
        <f t="shared" si="8"/>
        <v>0</v>
      </c>
      <c r="J37" s="406">
        <f t="shared" si="8"/>
        <v>0</v>
      </c>
      <c r="K37" s="402">
        <f t="shared" si="8"/>
        <v>2290512</v>
      </c>
      <c r="L37" s="403">
        <f t="shared" si="8"/>
        <v>2483811</v>
      </c>
      <c r="M37" s="403">
        <f t="shared" si="8"/>
        <v>0</v>
      </c>
      <c r="N37" s="461">
        <f t="shared" si="8"/>
        <v>0</v>
      </c>
      <c r="O37" s="411"/>
    </row>
    <row r="38" spans="1:15" ht="16.5" customHeight="1" thickBot="1">
      <c r="A38" s="462"/>
      <c r="B38" s="462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338"/>
      <c r="N38" s="338"/>
      <c r="O38" s="338"/>
    </row>
    <row r="39" spans="1:15" ht="13.5" thickBot="1">
      <c r="A39" s="342" t="s">
        <v>170</v>
      </c>
      <c r="B39" s="412"/>
      <c r="C39" s="953" t="s">
        <v>172</v>
      </c>
      <c r="D39" s="967"/>
      <c r="E39" s="967"/>
      <c r="F39" s="968"/>
      <c r="G39" s="969" t="s">
        <v>173</v>
      </c>
      <c r="H39" s="970"/>
      <c r="I39" s="970"/>
      <c r="J39" s="971"/>
      <c r="K39" s="969" t="s">
        <v>174</v>
      </c>
      <c r="L39" s="970"/>
      <c r="M39" s="970"/>
      <c r="N39" s="971"/>
      <c r="O39" s="411"/>
    </row>
    <row r="40" spans="1:15" ht="12.75">
      <c r="A40" s="413" t="s">
        <v>175</v>
      </c>
      <c r="B40" s="343" t="s">
        <v>186</v>
      </c>
      <c r="C40" s="341" t="s">
        <v>177</v>
      </c>
      <c r="D40" s="346" t="s">
        <v>178</v>
      </c>
      <c r="E40" s="346" t="s">
        <v>179</v>
      </c>
      <c r="F40" s="347" t="s">
        <v>180</v>
      </c>
      <c r="G40" s="345" t="s">
        <v>177</v>
      </c>
      <c r="H40" s="346" t="s">
        <v>178</v>
      </c>
      <c r="I40" s="346" t="s">
        <v>179</v>
      </c>
      <c r="J40" s="347" t="s">
        <v>180</v>
      </c>
      <c r="K40" s="341" t="s">
        <v>177</v>
      </c>
      <c r="L40" s="346" t="s">
        <v>178</v>
      </c>
      <c r="M40" s="346" t="s">
        <v>179</v>
      </c>
      <c r="N40" s="347" t="s">
        <v>180</v>
      </c>
      <c r="O40" s="338"/>
    </row>
    <row r="41" spans="1:15" ht="13.5" thickBot="1">
      <c r="A41" s="413" t="s">
        <v>181</v>
      </c>
      <c r="B41" s="396"/>
      <c r="C41" s="415"/>
      <c r="D41" s="350" t="s">
        <v>103</v>
      </c>
      <c r="E41" s="350" t="s">
        <v>103</v>
      </c>
      <c r="F41" s="351" t="s">
        <v>183</v>
      </c>
      <c r="G41" s="464"/>
      <c r="H41" s="350" t="s">
        <v>103</v>
      </c>
      <c r="I41" s="350" t="s">
        <v>103</v>
      </c>
      <c r="J41" s="351" t="s">
        <v>183</v>
      </c>
      <c r="K41" s="415"/>
      <c r="L41" s="350" t="s">
        <v>103</v>
      </c>
      <c r="M41" s="350" t="s">
        <v>103</v>
      </c>
      <c r="N41" s="351" t="s">
        <v>183</v>
      </c>
      <c r="O41" s="338"/>
    </row>
    <row r="42" spans="1:15" ht="12.75">
      <c r="A42" s="465" t="s">
        <v>200</v>
      </c>
      <c r="B42" s="466" t="s">
        <v>201</v>
      </c>
      <c r="C42" s="467"/>
      <c r="D42" s="468"/>
      <c r="E42" s="468"/>
      <c r="F42" s="469"/>
      <c r="G42" s="467">
        <v>538</v>
      </c>
      <c r="H42" s="468">
        <v>11868</v>
      </c>
      <c r="I42" s="468">
        <v>20734</v>
      </c>
      <c r="J42" s="470">
        <f>I42/H42*100</f>
        <v>174.70508931580721</v>
      </c>
      <c r="K42" s="424">
        <f aca="true" t="shared" si="9" ref="K42:M50">C42+G42</f>
        <v>538</v>
      </c>
      <c r="L42" s="425">
        <f t="shared" si="9"/>
        <v>11868</v>
      </c>
      <c r="M42" s="425">
        <f t="shared" si="9"/>
        <v>20734</v>
      </c>
      <c r="N42" s="470">
        <f>M42/L42*100</f>
        <v>174.70508931580721</v>
      </c>
      <c r="O42" s="338"/>
    </row>
    <row r="43" spans="1:15" ht="12.75">
      <c r="A43" s="471" t="s">
        <v>202</v>
      </c>
      <c r="B43" s="472" t="s">
        <v>203</v>
      </c>
      <c r="C43" s="430"/>
      <c r="D43" s="429"/>
      <c r="E43" s="429"/>
      <c r="F43" s="432"/>
      <c r="G43" s="430">
        <v>30000</v>
      </c>
      <c r="H43" s="429">
        <v>34466</v>
      </c>
      <c r="I43" s="429">
        <v>34514</v>
      </c>
      <c r="J43" s="473">
        <f>I43/H43*100</f>
        <v>100.13926768409446</v>
      </c>
      <c r="K43" s="428">
        <f t="shared" si="9"/>
        <v>30000</v>
      </c>
      <c r="L43" s="429">
        <f t="shared" si="9"/>
        <v>34466</v>
      </c>
      <c r="M43" s="429">
        <f t="shared" si="9"/>
        <v>34514</v>
      </c>
      <c r="N43" s="473">
        <f>M43/L43*100</f>
        <v>100.13926768409446</v>
      </c>
      <c r="O43" s="338"/>
    </row>
    <row r="44" spans="1:15" ht="12.75">
      <c r="A44" s="471" t="s">
        <v>204</v>
      </c>
      <c r="B44" s="472" t="s">
        <v>205</v>
      </c>
      <c r="C44" s="430"/>
      <c r="D44" s="429"/>
      <c r="E44" s="429"/>
      <c r="F44" s="432"/>
      <c r="G44" s="430"/>
      <c r="H44" s="429">
        <v>2552</v>
      </c>
      <c r="I44" s="429">
        <v>2938</v>
      </c>
      <c r="J44" s="473"/>
      <c r="K44" s="428"/>
      <c r="L44" s="429">
        <f t="shared" si="9"/>
        <v>2552</v>
      </c>
      <c r="M44" s="429">
        <f t="shared" si="9"/>
        <v>2938</v>
      </c>
      <c r="N44" s="473"/>
      <c r="O44" s="338"/>
    </row>
    <row r="45" spans="1:15" ht="12.75">
      <c r="A45" s="471" t="s">
        <v>206</v>
      </c>
      <c r="B45" s="472" t="s">
        <v>207</v>
      </c>
      <c r="C45" s="430"/>
      <c r="D45" s="429"/>
      <c r="E45" s="429"/>
      <c r="F45" s="432"/>
      <c r="G45" s="430">
        <v>61932</v>
      </c>
      <c r="H45" s="429">
        <v>81685</v>
      </c>
      <c r="I45" s="372">
        <v>9145</v>
      </c>
      <c r="J45" s="473">
        <f>I45/H45*100</f>
        <v>11.195445920303605</v>
      </c>
      <c r="K45" s="428">
        <f>C45+G45</f>
        <v>61932</v>
      </c>
      <c r="L45" s="429">
        <f>D45+H45</f>
        <v>81685</v>
      </c>
      <c r="M45" s="429">
        <f t="shared" si="9"/>
        <v>9145</v>
      </c>
      <c r="N45" s="473">
        <f>M45/L45*100</f>
        <v>11.195445920303605</v>
      </c>
      <c r="O45" s="338"/>
    </row>
    <row r="46" spans="1:15" ht="12.75">
      <c r="A46" s="471" t="s">
        <v>208</v>
      </c>
      <c r="B46" s="472" t="s">
        <v>209</v>
      </c>
      <c r="C46" s="430"/>
      <c r="D46" s="429"/>
      <c r="E46" s="429"/>
      <c r="F46" s="432"/>
      <c r="G46" s="430"/>
      <c r="H46" s="429">
        <v>3043</v>
      </c>
      <c r="I46" s="429">
        <v>3754</v>
      </c>
      <c r="J46" s="473"/>
      <c r="K46" s="428"/>
      <c r="L46" s="429">
        <f>D46+H46</f>
        <v>3043</v>
      </c>
      <c r="M46" s="429">
        <f t="shared" si="9"/>
        <v>3754</v>
      </c>
      <c r="N46" s="473"/>
      <c r="O46" s="338"/>
    </row>
    <row r="47" spans="1:15" ht="12.75">
      <c r="A47" s="471" t="s">
        <v>210</v>
      </c>
      <c r="B47" s="472" t="s">
        <v>211</v>
      </c>
      <c r="C47" s="430"/>
      <c r="D47" s="429"/>
      <c r="E47" s="429"/>
      <c r="F47" s="432"/>
      <c r="G47" s="430"/>
      <c r="H47" s="429">
        <v>2089</v>
      </c>
      <c r="I47" s="429">
        <v>2370</v>
      </c>
      <c r="J47" s="473"/>
      <c r="K47" s="428"/>
      <c r="L47" s="429">
        <f>D47+H47</f>
        <v>2089</v>
      </c>
      <c r="M47" s="429">
        <f t="shared" si="9"/>
        <v>2370</v>
      </c>
      <c r="N47" s="473"/>
      <c r="O47" s="338"/>
    </row>
    <row r="48" spans="1:15" ht="12.75">
      <c r="A48" s="471" t="s">
        <v>212</v>
      </c>
      <c r="B48" s="472" t="s">
        <v>213</v>
      </c>
      <c r="C48" s="430"/>
      <c r="D48" s="429"/>
      <c r="E48" s="429"/>
      <c r="F48" s="432"/>
      <c r="G48" s="430">
        <v>10840</v>
      </c>
      <c r="H48" s="429">
        <v>71981</v>
      </c>
      <c r="I48" s="429">
        <v>20729</v>
      </c>
      <c r="J48" s="473">
        <f>I48/H48*100</f>
        <v>28.797877217599087</v>
      </c>
      <c r="K48" s="428">
        <f aca="true" t="shared" si="10" ref="K48:L50">C48+G48</f>
        <v>10840</v>
      </c>
      <c r="L48" s="429">
        <f t="shared" si="10"/>
        <v>71981</v>
      </c>
      <c r="M48" s="429">
        <f t="shared" si="9"/>
        <v>20729</v>
      </c>
      <c r="N48" s="473">
        <f>M48/L48*100</f>
        <v>28.797877217599087</v>
      </c>
      <c r="O48" s="338"/>
    </row>
    <row r="49" spans="1:15" ht="12.75">
      <c r="A49" s="471" t="s">
        <v>214</v>
      </c>
      <c r="B49" s="472" t="s">
        <v>215</v>
      </c>
      <c r="C49" s="430"/>
      <c r="D49" s="429"/>
      <c r="E49" s="429"/>
      <c r="F49" s="432"/>
      <c r="G49" s="430">
        <v>4000</v>
      </c>
      <c r="H49" s="429">
        <v>35505</v>
      </c>
      <c r="I49" s="429">
        <v>13389</v>
      </c>
      <c r="J49" s="473">
        <f>I49/H49*100</f>
        <v>37.710181664554284</v>
      </c>
      <c r="K49" s="428">
        <f t="shared" si="10"/>
        <v>4000</v>
      </c>
      <c r="L49" s="429">
        <f t="shared" si="10"/>
        <v>35505</v>
      </c>
      <c r="M49" s="429">
        <f t="shared" si="9"/>
        <v>13389</v>
      </c>
      <c r="N49" s="473">
        <f>M49/L49*100</f>
        <v>37.710181664554284</v>
      </c>
      <c r="O49" s="338"/>
    </row>
    <row r="50" spans="1:15" ht="12.75">
      <c r="A50" s="474" t="s">
        <v>216</v>
      </c>
      <c r="B50" s="475" t="s">
        <v>217</v>
      </c>
      <c r="C50" s="436">
        <f>C42+C43+C44+C45+C46+C47+C48+C49</f>
        <v>0</v>
      </c>
      <c r="D50" s="387">
        <f>D42+D43+D44+D45+D46+D47+D48+D49</f>
        <v>0</v>
      </c>
      <c r="E50" s="436">
        <f>E42+E43+E44+E45+E46+E47+E48+E49</f>
        <v>0</v>
      </c>
      <c r="F50" s="476"/>
      <c r="G50" s="436">
        <f>G42+G43+G44+G45+G46+G47+G48+G49</f>
        <v>107310</v>
      </c>
      <c r="H50" s="387">
        <f>H42+H43+H44+H45+H46+H47+H48+H49</f>
        <v>243189</v>
      </c>
      <c r="I50" s="387">
        <f>I42+I43+I44+I45+I46+I47+I48+I49</f>
        <v>107573</v>
      </c>
      <c r="J50" s="477">
        <f>I50/H50*100</f>
        <v>44.23431980887293</v>
      </c>
      <c r="K50" s="434">
        <f t="shared" si="10"/>
        <v>107310</v>
      </c>
      <c r="L50" s="387">
        <f t="shared" si="10"/>
        <v>243189</v>
      </c>
      <c r="M50" s="387">
        <f t="shared" si="9"/>
        <v>107573</v>
      </c>
      <c r="N50" s="477">
        <f>M50/L50*100</f>
        <v>44.23431980887293</v>
      </c>
      <c r="O50" s="338"/>
    </row>
    <row r="51" spans="1:15" ht="12.75">
      <c r="A51" s="471" t="s">
        <v>218</v>
      </c>
      <c r="B51" s="472" t="s">
        <v>201</v>
      </c>
      <c r="C51" s="430"/>
      <c r="D51" s="429"/>
      <c r="E51" s="429"/>
      <c r="F51" s="431"/>
      <c r="G51" s="430"/>
      <c r="H51" s="429"/>
      <c r="I51" s="429"/>
      <c r="J51" s="473"/>
      <c r="K51" s="428"/>
      <c r="L51" s="429"/>
      <c r="M51" s="429"/>
      <c r="N51" s="473"/>
      <c r="O51" s="338"/>
    </row>
    <row r="52" spans="1:15" ht="12.75">
      <c r="A52" s="471" t="s">
        <v>219</v>
      </c>
      <c r="B52" s="472" t="s">
        <v>203</v>
      </c>
      <c r="C52" s="430"/>
      <c r="D52" s="429"/>
      <c r="E52" s="429"/>
      <c r="F52" s="431"/>
      <c r="G52" s="430"/>
      <c r="H52" s="429">
        <v>8300</v>
      </c>
      <c r="I52" s="372">
        <v>21981</v>
      </c>
      <c r="J52" s="473">
        <f>I52/H52*100</f>
        <v>264.8313253012048</v>
      </c>
      <c r="K52" s="428"/>
      <c r="L52" s="429">
        <f>D52+H52</f>
        <v>8300</v>
      </c>
      <c r="M52" s="429">
        <f>E52+I52</f>
        <v>21981</v>
      </c>
      <c r="N52" s="473">
        <f>M52/L52*100</f>
        <v>264.8313253012048</v>
      </c>
      <c r="O52" s="338"/>
    </row>
    <row r="53" spans="1:15" ht="12.75">
      <c r="A53" s="471" t="s">
        <v>220</v>
      </c>
      <c r="B53" s="472" t="s">
        <v>205</v>
      </c>
      <c r="C53" s="430"/>
      <c r="D53" s="429"/>
      <c r="E53" s="429"/>
      <c r="F53" s="431"/>
      <c r="G53" s="430"/>
      <c r="H53" s="429"/>
      <c r="I53" s="429"/>
      <c r="J53" s="473"/>
      <c r="K53" s="428"/>
      <c r="L53" s="429"/>
      <c r="M53" s="429"/>
      <c r="N53" s="473"/>
      <c r="O53" s="338"/>
    </row>
    <row r="54" spans="1:15" ht="12.75">
      <c r="A54" s="471" t="s">
        <v>221</v>
      </c>
      <c r="B54" s="472" t="s">
        <v>207</v>
      </c>
      <c r="C54" s="430"/>
      <c r="D54" s="429"/>
      <c r="E54" s="429"/>
      <c r="F54" s="431"/>
      <c r="G54" s="430"/>
      <c r="H54" s="429"/>
      <c r="I54" s="429"/>
      <c r="J54" s="473"/>
      <c r="K54" s="428"/>
      <c r="L54" s="429"/>
      <c r="M54" s="429"/>
      <c r="N54" s="473"/>
      <c r="O54" s="338"/>
    </row>
    <row r="55" spans="1:15" ht="12.75">
      <c r="A55" s="471" t="s">
        <v>222</v>
      </c>
      <c r="B55" s="472" t="s">
        <v>209</v>
      </c>
      <c r="C55" s="430"/>
      <c r="D55" s="429"/>
      <c r="E55" s="429"/>
      <c r="F55" s="431"/>
      <c r="G55" s="430"/>
      <c r="H55" s="429"/>
      <c r="I55" s="429">
        <v>5083</v>
      </c>
      <c r="J55" s="473"/>
      <c r="K55" s="428"/>
      <c r="L55" s="429"/>
      <c r="M55" s="429">
        <f>E55+I55</f>
        <v>5083</v>
      </c>
      <c r="N55" s="473"/>
      <c r="O55" s="338"/>
    </row>
    <row r="56" spans="1:15" ht="12.75">
      <c r="A56" s="471" t="s">
        <v>223</v>
      </c>
      <c r="B56" s="472" t="s">
        <v>211</v>
      </c>
      <c r="C56" s="430"/>
      <c r="D56" s="429"/>
      <c r="E56" s="429"/>
      <c r="F56" s="431"/>
      <c r="G56" s="430"/>
      <c r="H56" s="429"/>
      <c r="I56" s="429"/>
      <c r="J56" s="473"/>
      <c r="K56" s="428"/>
      <c r="L56" s="429"/>
      <c r="M56" s="429"/>
      <c r="N56" s="473"/>
      <c r="O56" s="338"/>
    </row>
    <row r="57" spans="1:15" ht="12.75">
      <c r="A57" s="471" t="s">
        <v>224</v>
      </c>
      <c r="B57" s="472" t="s">
        <v>213</v>
      </c>
      <c r="C57" s="430"/>
      <c r="D57" s="429"/>
      <c r="E57" s="429"/>
      <c r="F57" s="431"/>
      <c r="G57" s="430"/>
      <c r="H57" s="429"/>
      <c r="I57" s="372">
        <v>357</v>
      </c>
      <c r="J57" s="473"/>
      <c r="K57" s="428"/>
      <c r="L57" s="429"/>
      <c r="M57" s="429">
        <f>E57+I57</f>
        <v>357</v>
      </c>
      <c r="N57" s="473"/>
      <c r="O57" s="338"/>
    </row>
    <row r="58" spans="1:15" ht="12.75">
      <c r="A58" s="471" t="s">
        <v>225</v>
      </c>
      <c r="B58" s="472" t="s">
        <v>215</v>
      </c>
      <c r="C58" s="478"/>
      <c r="D58" s="479"/>
      <c r="E58" s="479"/>
      <c r="F58" s="480"/>
      <c r="G58" s="478"/>
      <c r="H58" s="479"/>
      <c r="I58" s="479"/>
      <c r="J58" s="481"/>
      <c r="K58" s="482"/>
      <c r="L58" s="479"/>
      <c r="M58" s="479"/>
      <c r="N58" s="481"/>
      <c r="O58" s="338"/>
    </row>
    <row r="59" spans="1:15" ht="13.5" thickBot="1">
      <c r="A59" s="483" t="s">
        <v>226</v>
      </c>
      <c r="B59" s="484" t="s">
        <v>217</v>
      </c>
      <c r="C59" s="485">
        <f>C51+C52+C53+C54+C55+C56+C57+C58</f>
        <v>0</v>
      </c>
      <c r="D59" s="486">
        <f>D51+D52+D53+D54+D55+D56+D57+D58</f>
        <v>0</v>
      </c>
      <c r="E59" s="486">
        <f>E51+E52+E53+E54+E55+E56+E57+E58</f>
        <v>0</v>
      </c>
      <c r="F59" s="487"/>
      <c r="G59" s="488">
        <f>SUM(G51:G58)</f>
        <v>0</v>
      </c>
      <c r="H59" s="486">
        <f>SUM(H51:H58)</f>
        <v>8300</v>
      </c>
      <c r="I59" s="486">
        <f>SUM(I51:I58)</f>
        <v>27421</v>
      </c>
      <c r="J59" s="489">
        <f aca="true" t="shared" si="11" ref="J59:J67">I59/H59*100</f>
        <v>330.3734939759036</v>
      </c>
      <c r="K59" s="485">
        <f>C59+G59</f>
        <v>0</v>
      </c>
      <c r="L59" s="486">
        <f>D59+H59</f>
        <v>8300</v>
      </c>
      <c r="M59" s="486">
        <f>E59+I59</f>
        <v>27421</v>
      </c>
      <c r="N59" s="489">
        <f aca="true" t="shared" si="12" ref="N59:N67">M59/L59*100</f>
        <v>330.3734939759036</v>
      </c>
      <c r="O59" s="338"/>
    </row>
    <row r="60" spans="1:15" ht="13.5" thickBot="1">
      <c r="A60" s="490" t="s">
        <v>227</v>
      </c>
      <c r="B60" s="440" t="s">
        <v>174</v>
      </c>
      <c r="C60" s="406">
        <f>C29+C50+C59</f>
        <v>0</v>
      </c>
      <c r="D60" s="403">
        <f>D29+D50+D59</f>
        <v>0</v>
      </c>
      <c r="E60" s="406">
        <f>E29+E50+E59</f>
        <v>0</v>
      </c>
      <c r="F60" s="404"/>
      <c r="G60" s="406">
        <f>G50+G59</f>
        <v>107310</v>
      </c>
      <c r="H60" s="403">
        <f>H50+H59</f>
        <v>251489</v>
      </c>
      <c r="I60" s="403">
        <f>I50+I59</f>
        <v>134994</v>
      </c>
      <c r="J60" s="491">
        <f t="shared" si="11"/>
        <v>53.67789446059271</v>
      </c>
      <c r="K60" s="402">
        <f>K50+K59</f>
        <v>107310</v>
      </c>
      <c r="L60" s="403">
        <f>L50+L59</f>
        <v>251489</v>
      </c>
      <c r="M60" s="403">
        <f>M50+M59</f>
        <v>134994</v>
      </c>
      <c r="N60" s="491">
        <f t="shared" si="12"/>
        <v>53.67789446059271</v>
      </c>
      <c r="O60" s="338"/>
    </row>
    <row r="61" spans="1:15" ht="13.5" thickBot="1">
      <c r="A61" s="490" t="s">
        <v>228</v>
      </c>
      <c r="B61" s="440" t="s">
        <v>174</v>
      </c>
      <c r="C61" s="402">
        <f>C9</f>
        <v>228746</v>
      </c>
      <c r="D61" s="403">
        <f>D9</f>
        <v>284463</v>
      </c>
      <c r="E61" s="403">
        <f>E9</f>
        <v>288544</v>
      </c>
      <c r="F61" s="454">
        <f>E61/D61*100</f>
        <v>101.43463297511452</v>
      </c>
      <c r="G61" s="402">
        <f>G9</f>
        <v>113899</v>
      </c>
      <c r="H61" s="403">
        <f>H9</f>
        <v>115529</v>
      </c>
      <c r="I61" s="403">
        <f>I9</f>
        <v>115763</v>
      </c>
      <c r="J61" s="491">
        <f t="shared" si="11"/>
        <v>100.20254654675449</v>
      </c>
      <c r="K61" s="402">
        <f>K9</f>
        <v>342645</v>
      </c>
      <c r="L61" s="403">
        <f>L9</f>
        <v>399992</v>
      </c>
      <c r="M61" s="403">
        <f>M9</f>
        <v>404307</v>
      </c>
      <c r="N61" s="491">
        <f t="shared" si="12"/>
        <v>101.0787715754315</v>
      </c>
      <c r="O61" s="338"/>
    </row>
    <row r="62" spans="1:15" ht="13.5" thickBot="1">
      <c r="A62" s="426">
        <v>112120</v>
      </c>
      <c r="B62" s="438" t="s">
        <v>197</v>
      </c>
      <c r="C62" s="428"/>
      <c r="D62" s="429"/>
      <c r="E62" s="429"/>
      <c r="F62" s="431"/>
      <c r="G62" s="430">
        <v>55114</v>
      </c>
      <c r="H62" s="429"/>
      <c r="I62" s="429"/>
      <c r="J62" s="432"/>
      <c r="K62" s="428">
        <f>G62+C62</f>
        <v>55114</v>
      </c>
      <c r="L62" s="429"/>
      <c r="M62" s="429"/>
      <c r="N62" s="432"/>
      <c r="O62" s="338"/>
    </row>
    <row r="63" spans="1:15" ht="13.5" thickBot="1">
      <c r="A63" s="492" t="s">
        <v>229</v>
      </c>
      <c r="B63" s="493"/>
      <c r="C63" s="494">
        <f>SUM(C60:C62)</f>
        <v>228746</v>
      </c>
      <c r="D63" s="495">
        <f>SUM(D60:D62)</f>
        <v>284463</v>
      </c>
      <c r="E63" s="495">
        <f>SUM(E60:E62)</f>
        <v>288544</v>
      </c>
      <c r="F63" s="496">
        <f>E63/D63*100</f>
        <v>101.43463297511452</v>
      </c>
      <c r="G63" s="494">
        <f>SUM(G60:G62)</f>
        <v>276323</v>
      </c>
      <c r="H63" s="495">
        <f>SUM(H60:H62)</f>
        <v>367018</v>
      </c>
      <c r="I63" s="495">
        <f>SUM(I60:I61)</f>
        <v>250757</v>
      </c>
      <c r="J63" s="497">
        <f t="shared" si="11"/>
        <v>68.32280705578472</v>
      </c>
      <c r="K63" s="494">
        <f>SUM(K60:K62)</f>
        <v>505069</v>
      </c>
      <c r="L63" s="495">
        <f>SUM(L60:L62)</f>
        <v>651481</v>
      </c>
      <c r="M63" s="495">
        <f>SUM(M60:M62)</f>
        <v>539301</v>
      </c>
      <c r="N63" s="497">
        <f t="shared" si="12"/>
        <v>82.7807718106898</v>
      </c>
      <c r="O63" s="411"/>
    </row>
    <row r="64" spans="1:15" ht="12.75">
      <c r="A64" s="498">
        <v>112110</v>
      </c>
      <c r="B64" s="498" t="s">
        <v>174</v>
      </c>
      <c r="C64" s="499">
        <f>C11</f>
        <v>533874</v>
      </c>
      <c r="D64" s="500">
        <f>D11</f>
        <v>542672</v>
      </c>
      <c r="E64" s="500">
        <f>E11</f>
        <v>288544</v>
      </c>
      <c r="F64" s="501">
        <f>E64/D64*100</f>
        <v>53.17097620662204</v>
      </c>
      <c r="G64" s="499">
        <f>G11</f>
        <v>392956</v>
      </c>
      <c r="H64" s="500">
        <f>H11</f>
        <v>523420</v>
      </c>
      <c r="I64" s="500">
        <f>I11</f>
        <v>115763</v>
      </c>
      <c r="J64" s="501">
        <f t="shared" si="11"/>
        <v>22.116655840434067</v>
      </c>
      <c r="K64" s="499">
        <f>K11</f>
        <v>926830</v>
      </c>
      <c r="L64" s="500">
        <f>L11</f>
        <v>1066092</v>
      </c>
      <c r="M64" s="500">
        <f>M11</f>
        <v>404307</v>
      </c>
      <c r="N64" s="501">
        <f t="shared" si="12"/>
        <v>37.92421291971049</v>
      </c>
      <c r="O64" s="338"/>
    </row>
    <row r="65" spans="1:15" ht="12.75">
      <c r="A65" s="502">
        <v>112120</v>
      </c>
      <c r="B65" s="502" t="s">
        <v>174</v>
      </c>
      <c r="C65" s="503">
        <f>C29+C50</f>
        <v>0</v>
      </c>
      <c r="D65" s="504">
        <f>D29+D50</f>
        <v>0</v>
      </c>
      <c r="E65" s="504">
        <f>E29+E50</f>
        <v>0</v>
      </c>
      <c r="F65" s="505"/>
      <c r="G65" s="503">
        <f>G29+G50</f>
        <v>162424</v>
      </c>
      <c r="H65" s="504">
        <f>H29+H50</f>
        <v>243189</v>
      </c>
      <c r="I65" s="504">
        <f>I29+I50</f>
        <v>107573</v>
      </c>
      <c r="J65" s="505">
        <f t="shared" si="11"/>
        <v>44.23431980887293</v>
      </c>
      <c r="K65" s="503">
        <f>K29+K50</f>
        <v>162424</v>
      </c>
      <c r="L65" s="504">
        <f>L29+L50</f>
        <v>243189</v>
      </c>
      <c r="M65" s="504">
        <f>M29+M50</f>
        <v>107573</v>
      </c>
      <c r="N65" s="505">
        <f t="shared" si="12"/>
        <v>44.23431980887293</v>
      </c>
      <c r="O65" s="338"/>
    </row>
    <row r="66" spans="1:15" ht="13.5" thickBot="1">
      <c r="A66" s="506" t="s">
        <v>226</v>
      </c>
      <c r="B66" s="506" t="s">
        <v>174</v>
      </c>
      <c r="C66" s="507">
        <f aca="true" t="shared" si="13" ref="C66:I66">+C59</f>
        <v>0</v>
      </c>
      <c r="D66" s="508">
        <f t="shared" si="13"/>
        <v>0</v>
      </c>
      <c r="E66" s="508">
        <f t="shared" si="13"/>
        <v>0</v>
      </c>
      <c r="F66" s="509">
        <f t="shared" si="13"/>
        <v>0</v>
      </c>
      <c r="G66" s="507">
        <f t="shared" si="13"/>
        <v>0</v>
      </c>
      <c r="H66" s="508">
        <f t="shared" si="13"/>
        <v>8300</v>
      </c>
      <c r="I66" s="508">
        <f t="shared" si="13"/>
        <v>27421</v>
      </c>
      <c r="J66" s="509">
        <f t="shared" si="11"/>
        <v>330.3734939759036</v>
      </c>
      <c r="K66" s="507">
        <f>+K59</f>
        <v>0</v>
      </c>
      <c r="L66" s="508">
        <f>+L59</f>
        <v>8300</v>
      </c>
      <c r="M66" s="508">
        <f>+M59</f>
        <v>27421</v>
      </c>
      <c r="N66" s="509">
        <f t="shared" si="12"/>
        <v>330.3734939759036</v>
      </c>
      <c r="O66" s="338"/>
    </row>
    <row r="67" spans="1:15" ht="13.5" thickBot="1">
      <c r="A67" s="510" t="s">
        <v>230</v>
      </c>
      <c r="B67" s="511"/>
      <c r="C67" s="512">
        <f>SUM(C64:C66)</f>
        <v>533874</v>
      </c>
      <c r="D67" s="508">
        <f>SUM(D64:D66)</f>
        <v>542672</v>
      </c>
      <c r="E67" s="508">
        <f>SUM(E64:E65)</f>
        <v>288544</v>
      </c>
      <c r="F67" s="513">
        <f>E67/D67*100</f>
        <v>53.17097620662204</v>
      </c>
      <c r="G67" s="507">
        <f>SUM(G64:G66)</f>
        <v>555380</v>
      </c>
      <c r="H67" s="508">
        <f>SUM(H64:H66)</f>
        <v>774909</v>
      </c>
      <c r="I67" s="508">
        <f>SUM(I64:I66)</f>
        <v>250757</v>
      </c>
      <c r="J67" s="509">
        <f t="shared" si="11"/>
        <v>32.35954157197813</v>
      </c>
      <c r="K67" s="507">
        <f>SUM(K64:K66)</f>
        <v>1089254</v>
      </c>
      <c r="L67" s="508">
        <f>SUM(L64:L66)</f>
        <v>1317581</v>
      </c>
      <c r="M67" s="508">
        <f>SUM(M64:M66)</f>
        <v>539301</v>
      </c>
      <c r="N67" s="509">
        <f t="shared" si="12"/>
        <v>40.931145789139336</v>
      </c>
      <c r="O67" s="338"/>
    </row>
    <row r="68" spans="1:15" ht="13.5" thickBot="1">
      <c r="A68" s="514"/>
      <c r="B68" s="515"/>
      <c r="C68" s="409"/>
      <c r="D68" s="409"/>
      <c r="E68" s="409"/>
      <c r="F68" s="410"/>
      <c r="G68" s="409"/>
      <c r="H68" s="409"/>
      <c r="I68" s="409"/>
      <c r="J68" s="516"/>
      <c r="K68" s="517"/>
      <c r="L68" s="517"/>
      <c r="M68" s="517"/>
      <c r="N68" s="516"/>
      <c r="O68" s="338"/>
    </row>
    <row r="69" spans="1:15" ht="13.5" thickBot="1">
      <c r="A69" s="342" t="s">
        <v>170</v>
      </c>
      <c r="B69" s="412"/>
      <c r="C69" s="953" t="s">
        <v>172</v>
      </c>
      <c r="D69" s="967"/>
      <c r="E69" s="967"/>
      <c r="F69" s="968"/>
      <c r="G69" s="969" t="s">
        <v>173</v>
      </c>
      <c r="H69" s="970"/>
      <c r="I69" s="970"/>
      <c r="J69" s="971"/>
      <c r="K69" s="969" t="s">
        <v>174</v>
      </c>
      <c r="L69" s="970"/>
      <c r="M69" s="970"/>
      <c r="N69" s="971"/>
      <c r="O69" s="338"/>
    </row>
    <row r="70" spans="1:15" ht="12.75">
      <c r="A70" s="413" t="s">
        <v>175</v>
      </c>
      <c r="B70" s="343" t="s">
        <v>187</v>
      </c>
      <c r="C70" s="341" t="s">
        <v>177</v>
      </c>
      <c r="D70" s="346" t="s">
        <v>178</v>
      </c>
      <c r="E70" s="346" t="s">
        <v>179</v>
      </c>
      <c r="F70" s="347" t="s">
        <v>180</v>
      </c>
      <c r="G70" s="345" t="s">
        <v>177</v>
      </c>
      <c r="H70" s="346" t="s">
        <v>178</v>
      </c>
      <c r="I70" s="346" t="s">
        <v>179</v>
      </c>
      <c r="J70" s="347" t="s">
        <v>180</v>
      </c>
      <c r="K70" s="341" t="s">
        <v>177</v>
      </c>
      <c r="L70" s="346" t="s">
        <v>178</v>
      </c>
      <c r="M70" s="346" t="s">
        <v>179</v>
      </c>
      <c r="N70" s="347" t="s">
        <v>180</v>
      </c>
      <c r="O70" s="338"/>
    </row>
    <row r="71" spans="1:15" ht="13.5" thickBot="1">
      <c r="A71" s="413" t="s">
        <v>181</v>
      </c>
      <c r="B71" s="396"/>
      <c r="C71" s="415"/>
      <c r="D71" s="350" t="s">
        <v>103</v>
      </c>
      <c r="E71" s="350" t="s">
        <v>103</v>
      </c>
      <c r="F71" s="351" t="s">
        <v>183</v>
      </c>
      <c r="G71" s="464"/>
      <c r="H71" s="350" t="s">
        <v>103</v>
      </c>
      <c r="I71" s="350" t="s">
        <v>103</v>
      </c>
      <c r="J71" s="351" t="s">
        <v>183</v>
      </c>
      <c r="K71" s="415"/>
      <c r="L71" s="350" t="s">
        <v>103</v>
      </c>
      <c r="M71" s="350" t="s">
        <v>103</v>
      </c>
      <c r="N71" s="351" t="s">
        <v>183</v>
      </c>
      <c r="O71" s="338"/>
    </row>
    <row r="72" spans="1:15" ht="12.75">
      <c r="A72" s="518">
        <v>112212</v>
      </c>
      <c r="B72" s="519"/>
      <c r="C72" s="421"/>
      <c r="D72" s="420"/>
      <c r="E72" s="420"/>
      <c r="F72" s="520"/>
      <c r="G72" s="421">
        <v>64000</v>
      </c>
      <c r="H72" s="420">
        <v>61160</v>
      </c>
      <c r="I72" s="521"/>
      <c r="J72" s="423">
        <f>I72/H72*100</f>
        <v>0</v>
      </c>
      <c r="K72" s="419">
        <f aca="true" t="shared" si="14" ref="K72:M74">C72+G72</f>
        <v>64000</v>
      </c>
      <c r="L72" s="420">
        <f t="shared" si="14"/>
        <v>61160</v>
      </c>
      <c r="M72" s="420">
        <f t="shared" si="14"/>
        <v>0</v>
      </c>
      <c r="N72" s="423">
        <f>M72/L72*100</f>
        <v>0</v>
      </c>
      <c r="O72" s="338"/>
    </row>
    <row r="73" spans="1:15" ht="13.5" thickBot="1">
      <c r="A73" s="426">
        <v>112213</v>
      </c>
      <c r="B73" s="394"/>
      <c r="C73" s="428"/>
      <c r="D73" s="429"/>
      <c r="E73" s="429"/>
      <c r="F73" s="473"/>
      <c r="G73" s="430">
        <v>75000</v>
      </c>
      <c r="H73" s="429">
        <v>75000</v>
      </c>
      <c r="I73" s="522"/>
      <c r="J73" s="432">
        <f>I73/H73*100</f>
        <v>0</v>
      </c>
      <c r="K73" s="428">
        <f t="shared" si="14"/>
        <v>75000</v>
      </c>
      <c r="L73" s="429">
        <f t="shared" si="14"/>
        <v>75000</v>
      </c>
      <c r="M73" s="522">
        <f t="shared" si="14"/>
        <v>0</v>
      </c>
      <c r="N73" s="431">
        <f>M73/L73*100</f>
        <v>0</v>
      </c>
      <c r="O73" s="338"/>
    </row>
    <row r="74" spans="1:15" ht="13.5" thickBot="1">
      <c r="A74" s="439" t="s">
        <v>231</v>
      </c>
      <c r="B74" s="440"/>
      <c r="C74" s="406">
        <f>C72+C73</f>
        <v>0</v>
      </c>
      <c r="D74" s="403">
        <f>D72+D73</f>
        <v>0</v>
      </c>
      <c r="E74" s="406">
        <f>E72+E73</f>
        <v>0</v>
      </c>
      <c r="F74" s="407"/>
      <c r="G74" s="406">
        <f>G72+G73</f>
        <v>139000</v>
      </c>
      <c r="H74" s="403">
        <f>H72+H73</f>
        <v>136160</v>
      </c>
      <c r="I74" s="403">
        <f>I72+I73</f>
        <v>0</v>
      </c>
      <c r="J74" s="454">
        <f>I74/H74*100</f>
        <v>0</v>
      </c>
      <c r="K74" s="402">
        <f t="shared" si="14"/>
        <v>139000</v>
      </c>
      <c r="L74" s="403">
        <f t="shared" si="14"/>
        <v>136160</v>
      </c>
      <c r="M74" s="403">
        <f t="shared" si="14"/>
        <v>0</v>
      </c>
      <c r="N74" s="404">
        <f>M74/L74*100</f>
        <v>0</v>
      </c>
      <c r="O74" s="338"/>
    </row>
    <row r="75" spans="1:15" ht="13.5" thickBot="1">
      <c r="A75" s="952" t="s">
        <v>232</v>
      </c>
      <c r="B75" s="951"/>
      <c r="C75" s="406">
        <f>C12+C74</f>
        <v>215220</v>
      </c>
      <c r="D75" s="403">
        <f>D12+D74</f>
        <v>204480</v>
      </c>
      <c r="E75" s="406">
        <f>E12+E74</f>
        <v>0</v>
      </c>
      <c r="F75" s="407">
        <f>E75/D75*100</f>
        <v>0</v>
      </c>
      <c r="G75" s="406">
        <f>G12+G74</f>
        <v>314080</v>
      </c>
      <c r="H75" s="403">
        <f>H12+H74</f>
        <v>316663</v>
      </c>
      <c r="I75" s="403">
        <f>I12+I74</f>
        <v>0</v>
      </c>
      <c r="J75" s="454">
        <f>I75/H75*100</f>
        <v>0</v>
      </c>
      <c r="K75" s="402">
        <f>K12+K74</f>
        <v>529300</v>
      </c>
      <c r="L75" s="403">
        <f>L12+L74</f>
        <v>521143</v>
      </c>
      <c r="M75" s="403">
        <f>M12+M74</f>
        <v>0</v>
      </c>
      <c r="N75" s="404">
        <f>M75/L75*100</f>
        <v>0</v>
      </c>
      <c r="O75" s="338"/>
    </row>
    <row r="76" spans="1:15" ht="13.5" thickBot="1">
      <c r="A76" s="523" t="s">
        <v>233</v>
      </c>
      <c r="B76" s="524"/>
      <c r="C76" s="402">
        <f>C75</f>
        <v>215220</v>
      </c>
      <c r="D76" s="403">
        <f>D75</f>
        <v>204480</v>
      </c>
      <c r="E76" s="406">
        <f>E75</f>
        <v>0</v>
      </c>
      <c r="F76" s="407">
        <f>E76/D76*100</f>
        <v>0</v>
      </c>
      <c r="G76" s="406">
        <f>G75</f>
        <v>314080</v>
      </c>
      <c r="H76" s="403">
        <f>H75</f>
        <v>316663</v>
      </c>
      <c r="I76" s="403">
        <f>I75</f>
        <v>0</v>
      </c>
      <c r="J76" s="454">
        <f>I76/H76*100</f>
        <v>0</v>
      </c>
      <c r="K76" s="406">
        <f>K75</f>
        <v>529300</v>
      </c>
      <c r="L76" s="403">
        <f>L75</f>
        <v>521143</v>
      </c>
      <c r="M76" s="403">
        <f>M75</f>
        <v>0</v>
      </c>
      <c r="N76" s="404">
        <f>M76/L76*100</f>
        <v>0</v>
      </c>
      <c r="O76" s="338"/>
    </row>
    <row r="77" spans="1:15" ht="13.5" thickBot="1">
      <c r="A77" s="338"/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</row>
    <row r="78" spans="1:15" ht="13.5" thickBot="1">
      <c r="A78" s="342" t="s">
        <v>170</v>
      </c>
      <c r="B78" s="412"/>
      <c r="C78" s="953" t="s">
        <v>172</v>
      </c>
      <c r="D78" s="967"/>
      <c r="E78" s="967"/>
      <c r="F78" s="968"/>
      <c r="G78" s="969" t="s">
        <v>173</v>
      </c>
      <c r="H78" s="970"/>
      <c r="I78" s="970"/>
      <c r="J78" s="971"/>
      <c r="K78" s="969" t="s">
        <v>174</v>
      </c>
      <c r="L78" s="970"/>
      <c r="M78" s="970"/>
      <c r="N78" s="971"/>
      <c r="O78" s="338"/>
    </row>
    <row r="79" spans="1:15" ht="12.75">
      <c r="A79" s="413" t="s">
        <v>175</v>
      </c>
      <c r="B79" s="343" t="s">
        <v>188</v>
      </c>
      <c r="C79" s="341" t="s">
        <v>177</v>
      </c>
      <c r="D79" s="346" t="s">
        <v>178</v>
      </c>
      <c r="E79" s="346" t="s">
        <v>179</v>
      </c>
      <c r="F79" s="347" t="s">
        <v>180</v>
      </c>
      <c r="G79" s="345" t="s">
        <v>177</v>
      </c>
      <c r="H79" s="346" t="s">
        <v>178</v>
      </c>
      <c r="I79" s="346" t="s">
        <v>179</v>
      </c>
      <c r="J79" s="347" t="s">
        <v>180</v>
      </c>
      <c r="K79" s="341" t="s">
        <v>177</v>
      </c>
      <c r="L79" s="346" t="s">
        <v>178</v>
      </c>
      <c r="M79" s="346" t="s">
        <v>179</v>
      </c>
      <c r="N79" s="347" t="s">
        <v>180</v>
      </c>
      <c r="O79" s="338"/>
    </row>
    <row r="80" spans="1:15" ht="13.5" thickBot="1">
      <c r="A80" s="413" t="s">
        <v>181</v>
      </c>
      <c r="B80" s="396"/>
      <c r="C80" s="415"/>
      <c r="D80" s="350" t="s">
        <v>103</v>
      </c>
      <c r="E80" s="350" t="s">
        <v>103</v>
      </c>
      <c r="F80" s="352" t="s">
        <v>183</v>
      </c>
      <c r="G80" s="416"/>
      <c r="H80" s="350" t="s">
        <v>103</v>
      </c>
      <c r="I80" s="350" t="s">
        <v>103</v>
      </c>
      <c r="J80" s="352" t="s">
        <v>183</v>
      </c>
      <c r="K80" s="415"/>
      <c r="L80" s="350" t="s">
        <v>103</v>
      </c>
      <c r="M80" s="350" t="s">
        <v>103</v>
      </c>
      <c r="N80" s="351" t="s">
        <v>183</v>
      </c>
      <c r="O80" s="338"/>
    </row>
    <row r="81" spans="1:15" ht="12.75">
      <c r="A81" s="525">
        <v>112312</v>
      </c>
      <c r="B81" s="526"/>
      <c r="C81" s="421"/>
      <c r="D81" s="420"/>
      <c r="E81" s="420"/>
      <c r="F81" s="469"/>
      <c r="G81" s="421">
        <v>51700</v>
      </c>
      <c r="H81" s="420">
        <v>43100</v>
      </c>
      <c r="I81" s="420"/>
      <c r="J81" s="469">
        <f>I81/H81*100</f>
        <v>0</v>
      </c>
      <c r="K81" s="419">
        <f>C81+G81</f>
        <v>51700</v>
      </c>
      <c r="L81" s="420">
        <f>D81+H81</f>
        <v>43100</v>
      </c>
      <c r="M81" s="420">
        <f>E81+I81</f>
        <v>0</v>
      </c>
      <c r="N81" s="423">
        <f>M81/L81*100</f>
        <v>0</v>
      </c>
      <c r="O81" s="338"/>
    </row>
    <row r="82" spans="1:15" ht="13.5" thickBot="1">
      <c r="A82" s="426">
        <v>112313</v>
      </c>
      <c r="B82" s="394"/>
      <c r="C82" s="430"/>
      <c r="D82" s="429"/>
      <c r="E82" s="429"/>
      <c r="F82" s="432"/>
      <c r="G82" s="430">
        <v>20300</v>
      </c>
      <c r="H82" s="429">
        <v>50</v>
      </c>
      <c r="I82" s="429"/>
      <c r="J82" s="432"/>
      <c r="K82" s="428">
        <f aca="true" t="shared" si="15" ref="K82:L84">C82+G82</f>
        <v>20300</v>
      </c>
      <c r="L82" s="429">
        <f t="shared" si="15"/>
        <v>50</v>
      </c>
      <c r="M82" s="429"/>
      <c r="N82" s="432"/>
      <c r="O82" s="338"/>
    </row>
    <row r="83" spans="1:15" ht="13.5" thickBot="1">
      <c r="A83" s="439" t="s">
        <v>231</v>
      </c>
      <c r="B83" s="527"/>
      <c r="C83" s="402">
        <f>SUM(C81:C82)</f>
        <v>0</v>
      </c>
      <c r="D83" s="403">
        <f>SUM(D81:D82)</f>
        <v>0</v>
      </c>
      <c r="E83" s="403">
        <f>SUM(E81:E82)</f>
        <v>0</v>
      </c>
      <c r="F83" s="454"/>
      <c r="G83" s="406">
        <f>SUM(G81:G82)</f>
        <v>72000</v>
      </c>
      <c r="H83" s="403">
        <f>SUM(H81:H82)</f>
        <v>43150</v>
      </c>
      <c r="I83" s="403">
        <f>SUM(I81:I82)</f>
        <v>0</v>
      </c>
      <c r="J83" s="454">
        <f>I83/H83*100</f>
        <v>0</v>
      </c>
      <c r="K83" s="402">
        <f t="shared" si="15"/>
        <v>72000</v>
      </c>
      <c r="L83" s="403">
        <f t="shared" si="15"/>
        <v>43150</v>
      </c>
      <c r="M83" s="403">
        <f>E83+I83</f>
        <v>0</v>
      </c>
      <c r="N83" s="454">
        <f>M83/L83*100</f>
        <v>0</v>
      </c>
      <c r="O83" s="338"/>
    </row>
    <row r="84" spans="1:15" ht="13.5" thickBot="1">
      <c r="A84" s="952" t="s">
        <v>234</v>
      </c>
      <c r="B84" s="976"/>
      <c r="C84" s="402">
        <f>C13+C83</f>
        <v>300025</v>
      </c>
      <c r="D84" s="403">
        <f>D13+D83</f>
        <v>273225</v>
      </c>
      <c r="E84" s="403">
        <f>E13+E83</f>
        <v>0</v>
      </c>
      <c r="F84" s="454">
        <f>E84/D84*100</f>
        <v>0</v>
      </c>
      <c r="G84" s="402">
        <f>G13+G83</f>
        <v>101932</v>
      </c>
      <c r="H84" s="403">
        <f>H13+H83</f>
        <v>125232</v>
      </c>
      <c r="I84" s="403">
        <f>I13+I83</f>
        <v>0</v>
      </c>
      <c r="J84" s="454">
        <f>I84/H84*100</f>
        <v>0</v>
      </c>
      <c r="K84" s="402">
        <f t="shared" si="15"/>
        <v>401957</v>
      </c>
      <c r="L84" s="403">
        <f t="shared" si="15"/>
        <v>398457</v>
      </c>
      <c r="M84" s="403">
        <f>E84+I84</f>
        <v>0</v>
      </c>
      <c r="N84" s="454">
        <f>M84/L84*100</f>
        <v>0</v>
      </c>
      <c r="O84" s="338"/>
    </row>
    <row r="85" spans="1:15" ht="13.5" thickBot="1">
      <c r="A85" s="528" t="s">
        <v>235</v>
      </c>
      <c r="B85" s="529"/>
      <c r="C85" s="402">
        <f>C84</f>
        <v>300025</v>
      </c>
      <c r="D85" s="403">
        <f>D84</f>
        <v>273225</v>
      </c>
      <c r="E85" s="403">
        <f>E84</f>
        <v>0</v>
      </c>
      <c r="F85" s="454">
        <f>E85/D85*100</f>
        <v>0</v>
      </c>
      <c r="G85" s="406">
        <f>G84</f>
        <v>101932</v>
      </c>
      <c r="H85" s="403">
        <f>H84</f>
        <v>125232</v>
      </c>
      <c r="I85" s="403">
        <f>I84</f>
        <v>0</v>
      </c>
      <c r="J85" s="454">
        <f>I85/H85*100</f>
        <v>0</v>
      </c>
      <c r="K85" s="453">
        <f>SUM(K84:K84)</f>
        <v>401957</v>
      </c>
      <c r="L85" s="403">
        <f>SUM(L84:L84)</f>
        <v>398457</v>
      </c>
      <c r="M85" s="403">
        <f>SUM(M84:M84)</f>
        <v>0</v>
      </c>
      <c r="N85" s="454">
        <f>M85/L85*100</f>
        <v>0</v>
      </c>
      <c r="O85" s="338"/>
    </row>
    <row r="86" spans="1:15" ht="13.5" thickBot="1">
      <c r="A86" s="338"/>
      <c r="B86" s="338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338"/>
    </row>
    <row r="87" spans="1:15" ht="13.5" thickBot="1">
      <c r="A87" s="412"/>
      <c r="B87" s="530"/>
      <c r="C87" s="967" t="s">
        <v>172</v>
      </c>
      <c r="D87" s="967"/>
      <c r="E87" s="967"/>
      <c r="F87" s="968"/>
      <c r="G87" s="969" t="s">
        <v>173</v>
      </c>
      <c r="H87" s="970"/>
      <c r="I87" s="970"/>
      <c r="J87" s="971"/>
      <c r="K87" s="969" t="s">
        <v>174</v>
      </c>
      <c r="L87" s="970"/>
      <c r="M87" s="970"/>
      <c r="N87" s="971"/>
      <c r="O87" s="338"/>
    </row>
    <row r="88" spans="1:15" ht="12.75">
      <c r="A88" s="531" t="s">
        <v>236</v>
      </c>
      <c r="B88" s="532"/>
      <c r="C88" s="341" t="s">
        <v>177</v>
      </c>
      <c r="D88" s="346" t="s">
        <v>178</v>
      </c>
      <c r="E88" s="346" t="s">
        <v>179</v>
      </c>
      <c r="F88" s="347" t="s">
        <v>180</v>
      </c>
      <c r="G88" s="533" t="s">
        <v>177</v>
      </c>
      <c r="H88" s="346" t="s">
        <v>178</v>
      </c>
      <c r="I88" s="346" t="s">
        <v>179</v>
      </c>
      <c r="J88" s="347" t="s">
        <v>180</v>
      </c>
      <c r="K88" s="533" t="s">
        <v>177</v>
      </c>
      <c r="L88" s="346" t="s">
        <v>178</v>
      </c>
      <c r="M88" s="346" t="s">
        <v>179</v>
      </c>
      <c r="N88" s="347" t="s">
        <v>180</v>
      </c>
      <c r="O88" s="338"/>
    </row>
    <row r="89" spans="1:15" ht="13.5" thickBot="1">
      <c r="A89" s="534"/>
      <c r="B89" s="535"/>
      <c r="C89" s="415"/>
      <c r="D89" s="350" t="s">
        <v>103</v>
      </c>
      <c r="E89" s="350" t="s">
        <v>103</v>
      </c>
      <c r="F89" s="351" t="s">
        <v>183</v>
      </c>
      <c r="G89" s="536"/>
      <c r="H89" s="350" t="s">
        <v>103</v>
      </c>
      <c r="I89" s="350" t="s">
        <v>103</v>
      </c>
      <c r="J89" s="351" t="s">
        <v>183</v>
      </c>
      <c r="K89" s="536"/>
      <c r="L89" s="350" t="s">
        <v>103</v>
      </c>
      <c r="M89" s="350" t="s">
        <v>103</v>
      </c>
      <c r="N89" s="351" t="s">
        <v>183</v>
      </c>
      <c r="O89" s="338"/>
    </row>
    <row r="90" spans="1:15" ht="12.75">
      <c r="A90" s="537" t="s">
        <v>237</v>
      </c>
      <c r="B90" s="538"/>
      <c r="C90" s="539">
        <f>C15</f>
        <v>2330368</v>
      </c>
      <c r="D90" s="540">
        <f>D15</f>
        <v>1485643</v>
      </c>
      <c r="E90" s="540">
        <f>E15</f>
        <v>288544</v>
      </c>
      <c r="F90" s="541">
        <f>E90/D90*100</f>
        <v>19.4221626595353</v>
      </c>
      <c r="G90" s="539">
        <f>G15</f>
        <v>888016</v>
      </c>
      <c r="H90" s="540">
        <f>H15</f>
        <v>2001885</v>
      </c>
      <c r="I90" s="540">
        <f>I15</f>
        <v>115763</v>
      </c>
      <c r="J90" s="541">
        <f>I90/H90*100</f>
        <v>5.78269980543338</v>
      </c>
      <c r="K90" s="539">
        <f>K15</f>
        <v>3218384</v>
      </c>
      <c r="L90" s="540">
        <f>L15</f>
        <v>3487528</v>
      </c>
      <c r="M90" s="542">
        <f>M15</f>
        <v>404307</v>
      </c>
      <c r="N90" s="541">
        <f>M90/L90*100</f>
        <v>11.592939182137032</v>
      </c>
      <c r="O90" s="338"/>
    </row>
    <row r="91" spans="1:15" ht="13.5" thickBot="1">
      <c r="A91" s="543" t="s">
        <v>238</v>
      </c>
      <c r="B91" s="544"/>
      <c r="C91" s="545">
        <f>C30+C60+C74+C83</f>
        <v>0</v>
      </c>
      <c r="D91" s="546">
        <f>D30+D60+D74+D83</f>
        <v>0</v>
      </c>
      <c r="E91" s="546">
        <f>E30+E60+E74+E83</f>
        <v>0</v>
      </c>
      <c r="F91" s="547"/>
      <c r="G91" s="545">
        <f>G30+G60+G74+G83</f>
        <v>508454</v>
      </c>
      <c r="H91" s="546">
        <f>H30+H60+H74+H83</f>
        <v>567364</v>
      </c>
      <c r="I91" s="546">
        <f>I30+I60+I74+I83</f>
        <v>134994</v>
      </c>
      <c r="J91" s="547">
        <f>I91/H91*100</f>
        <v>23.793190967350768</v>
      </c>
      <c r="K91" s="545">
        <f>C91+G91</f>
        <v>508454</v>
      </c>
      <c r="L91" s="546">
        <f>D91+H91</f>
        <v>567364</v>
      </c>
      <c r="M91" s="548">
        <f>E91+I91</f>
        <v>134994</v>
      </c>
      <c r="N91" s="547">
        <f>M91/L91*100</f>
        <v>23.793190967350768</v>
      </c>
      <c r="O91" s="338"/>
    </row>
    <row r="92" spans="1:15" ht="13.5" thickBot="1">
      <c r="A92" s="549" t="s">
        <v>239</v>
      </c>
      <c r="B92" s="550"/>
      <c r="C92" s="551">
        <f>SUM(C90:C91)</f>
        <v>2330368</v>
      </c>
      <c r="D92" s="442">
        <f>SUM(D90:D91)</f>
        <v>1485643</v>
      </c>
      <c r="E92" s="442">
        <f>SUM(E90:E91)</f>
        <v>288544</v>
      </c>
      <c r="F92" s="552">
        <f>E92/D92*100</f>
        <v>19.4221626595353</v>
      </c>
      <c r="G92" s="551">
        <f>SUM(G90:G91)</f>
        <v>1396470</v>
      </c>
      <c r="H92" s="442">
        <f>SUM(H90:H91)</f>
        <v>2569249</v>
      </c>
      <c r="I92" s="442">
        <f>SUM(I90:I91)</f>
        <v>250757</v>
      </c>
      <c r="J92" s="552">
        <f>I92/H92*100</f>
        <v>9.759933739392327</v>
      </c>
      <c r="K92" s="551">
        <f>SUM(K90:K91)</f>
        <v>3726838</v>
      </c>
      <c r="L92" s="442">
        <f>SUM(L90:L91)</f>
        <v>4054892</v>
      </c>
      <c r="M92" s="553">
        <f>SUM(M90:M91)</f>
        <v>539301</v>
      </c>
      <c r="N92" s="552">
        <f>M92/L92*100</f>
        <v>13.30000897681122</v>
      </c>
      <c r="O92" s="338"/>
    </row>
    <row r="93" spans="1:15" ht="12.75">
      <c r="A93" s="554">
        <v>40190</v>
      </c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</row>
    <row r="94" spans="1:15" ht="12.75">
      <c r="A94" s="555"/>
      <c r="B94" s="554"/>
      <c r="C94" s="411"/>
      <c r="D94" s="338"/>
      <c r="E94" s="338"/>
      <c r="F94" s="338"/>
      <c r="G94" s="338"/>
      <c r="H94" s="338"/>
      <c r="I94" s="338"/>
      <c r="J94" s="338"/>
      <c r="L94" s="411"/>
      <c r="M94" s="338"/>
      <c r="N94" s="338"/>
      <c r="O94" s="338"/>
    </row>
    <row r="95" spans="1:15" ht="12.75">
      <c r="A95" s="554"/>
      <c r="B95" s="338"/>
      <c r="C95" s="338"/>
      <c r="D95" s="338"/>
      <c r="E95" s="338"/>
      <c r="F95" s="338"/>
      <c r="G95" s="338"/>
      <c r="H95" s="338"/>
      <c r="I95" s="338"/>
      <c r="J95" s="338"/>
      <c r="K95" s="411"/>
      <c r="L95" s="411"/>
      <c r="M95" s="338"/>
      <c r="N95" s="338"/>
      <c r="O95" s="338"/>
    </row>
    <row r="96" ht="12.75">
      <c r="L96" s="556"/>
    </row>
    <row r="97" ht="12.75">
      <c r="K97" s="557"/>
    </row>
    <row r="99" spans="11:12" ht="12.75">
      <c r="K99" s="557"/>
      <c r="L99" s="557"/>
    </row>
    <row r="100" spans="11:12" ht="12.75">
      <c r="K100" s="557"/>
      <c r="L100" s="557"/>
    </row>
    <row r="101" ht="12.75">
      <c r="K101" s="557"/>
    </row>
    <row r="102" ht="12.75">
      <c r="K102" s="557"/>
    </row>
    <row r="106" spans="11:12" ht="12.75">
      <c r="K106" s="411"/>
      <c r="L106" s="557"/>
    </row>
    <row r="107" ht="12.75">
      <c r="K107" s="557"/>
    </row>
    <row r="108" spans="11:12" ht="12.75">
      <c r="K108" s="557"/>
      <c r="L108" s="557"/>
    </row>
    <row r="109" ht="12.75">
      <c r="K109" s="557"/>
    </row>
  </sheetData>
  <mergeCells count="25">
    <mergeCell ref="A84:B84"/>
    <mergeCell ref="C87:F87"/>
    <mergeCell ref="G87:J87"/>
    <mergeCell ref="K87:N87"/>
    <mergeCell ref="A75:B75"/>
    <mergeCell ref="C78:F78"/>
    <mergeCell ref="G78:J78"/>
    <mergeCell ref="K78:N78"/>
    <mergeCell ref="K39:N39"/>
    <mergeCell ref="C69:F69"/>
    <mergeCell ref="G69:J69"/>
    <mergeCell ref="K69:N69"/>
    <mergeCell ref="A34:B34"/>
    <mergeCell ref="A37:B37"/>
    <mergeCell ref="C39:F39"/>
    <mergeCell ref="G39:J39"/>
    <mergeCell ref="A15:B15"/>
    <mergeCell ref="A17:N17"/>
    <mergeCell ref="C19:F19"/>
    <mergeCell ref="G19:J19"/>
    <mergeCell ref="K19:N19"/>
    <mergeCell ref="A1:N1"/>
    <mergeCell ref="C3:F3"/>
    <mergeCell ref="G3:J3"/>
    <mergeCell ref="K3:N3"/>
  </mergeCells>
  <printOptions/>
  <pageMargins left="0.2362204724409449" right="0.35433070866141736" top="1.141732283464567" bottom="0.3937007874015748" header="0.3937007874015748" footer="0.2362204724409449"/>
  <pageSetup fitToHeight="2" horizontalDpi="600" verticalDpi="600" orientation="portrait" paperSize="9" scale="73" r:id="rId1"/>
  <headerFooter alignWithMargins="0">
    <oddHeader>&amp;RPříloha č. 3 k č.j. 48/16 511/2010-482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1">
      <selection activeCell="A18" sqref="A18"/>
    </sheetView>
  </sheetViews>
  <sheetFormatPr defaultColWidth="9.125" defaultRowHeight="12.75"/>
  <cols>
    <col min="1" max="1" width="10.00390625" style="339" customWidth="1"/>
    <col min="2" max="2" width="11.125" style="339" customWidth="1"/>
    <col min="3" max="16384" width="9.625" style="339" customWidth="1"/>
  </cols>
  <sheetData>
    <row r="1" spans="1:15" ht="15.75">
      <c r="A1" s="965" t="s">
        <v>299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338"/>
    </row>
    <row r="2" spans="1:15" ht="11.25" customHeight="1" thickBo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40" t="s">
        <v>105</v>
      </c>
      <c r="O2" s="338"/>
    </row>
    <row r="3" spans="1:15" ht="13.5" thickBot="1">
      <c r="A3" s="341" t="s">
        <v>170</v>
      </c>
      <c r="B3" s="342" t="s">
        <v>171</v>
      </c>
      <c r="C3" s="967" t="s">
        <v>172</v>
      </c>
      <c r="D3" s="967"/>
      <c r="E3" s="967"/>
      <c r="F3" s="968"/>
      <c r="G3" s="969" t="s">
        <v>173</v>
      </c>
      <c r="H3" s="970"/>
      <c r="I3" s="970"/>
      <c r="J3" s="971"/>
      <c r="K3" s="969" t="s">
        <v>174</v>
      </c>
      <c r="L3" s="970"/>
      <c r="M3" s="970"/>
      <c r="N3" s="971"/>
      <c r="O3" s="338"/>
    </row>
    <row r="4" spans="1:15" ht="12.75">
      <c r="A4" s="343" t="s">
        <v>175</v>
      </c>
      <c r="B4" s="344" t="s">
        <v>176</v>
      </c>
      <c r="C4" s="345" t="s">
        <v>177</v>
      </c>
      <c r="D4" s="346" t="s">
        <v>178</v>
      </c>
      <c r="E4" s="346" t="s">
        <v>179</v>
      </c>
      <c r="F4" s="347" t="s">
        <v>180</v>
      </c>
      <c r="G4" s="345" t="s">
        <v>177</v>
      </c>
      <c r="H4" s="346" t="s">
        <v>178</v>
      </c>
      <c r="I4" s="346" t="s">
        <v>179</v>
      </c>
      <c r="J4" s="347" t="s">
        <v>180</v>
      </c>
      <c r="K4" s="345" t="s">
        <v>177</v>
      </c>
      <c r="L4" s="346" t="s">
        <v>178</v>
      </c>
      <c r="M4" s="346" t="s">
        <v>179</v>
      </c>
      <c r="N4" s="347" t="s">
        <v>180</v>
      </c>
      <c r="O4" s="338"/>
    </row>
    <row r="5" spans="1:15" ht="13.5" thickBot="1">
      <c r="A5" s="343" t="s">
        <v>181</v>
      </c>
      <c r="B5" s="348" t="s">
        <v>182</v>
      </c>
      <c r="C5" s="349"/>
      <c r="D5" s="350" t="s">
        <v>103</v>
      </c>
      <c r="E5" s="350" t="s">
        <v>103</v>
      </c>
      <c r="F5" s="351" t="s">
        <v>183</v>
      </c>
      <c r="G5" s="349"/>
      <c r="H5" s="350" t="s">
        <v>103</v>
      </c>
      <c r="I5" s="350" t="s">
        <v>103</v>
      </c>
      <c r="J5" s="351" t="s">
        <v>183</v>
      </c>
      <c r="K5" s="349"/>
      <c r="L5" s="350" t="s">
        <v>103</v>
      </c>
      <c r="M5" s="350" t="s">
        <v>103</v>
      </c>
      <c r="N5" s="352" t="s">
        <v>183</v>
      </c>
      <c r="O5" s="338"/>
    </row>
    <row r="6" spans="1:15" ht="12.75">
      <c r="A6" s="353">
        <v>112011</v>
      </c>
      <c r="B6" s="354" t="s">
        <v>184</v>
      </c>
      <c r="C6" s="355">
        <v>337222</v>
      </c>
      <c r="D6" s="356">
        <v>370615</v>
      </c>
      <c r="E6" s="355"/>
      <c r="F6" s="357">
        <f>E6/D6*100</f>
        <v>0</v>
      </c>
      <c r="G6" s="358">
        <v>131623</v>
      </c>
      <c r="H6" s="356">
        <v>167560</v>
      </c>
      <c r="I6" s="356"/>
      <c r="J6" s="359">
        <f>I6/H6*100</f>
        <v>0</v>
      </c>
      <c r="K6" s="355">
        <f aca="true" t="shared" si="0" ref="K6:M14">C6+G6</f>
        <v>468845</v>
      </c>
      <c r="L6" s="356">
        <f t="shared" si="0"/>
        <v>538175</v>
      </c>
      <c r="M6" s="356">
        <f t="shared" si="0"/>
        <v>0</v>
      </c>
      <c r="N6" s="360">
        <f>M6/L6*100</f>
        <v>0</v>
      </c>
      <c r="O6" s="338"/>
    </row>
    <row r="7" spans="1:15" ht="12.75">
      <c r="A7" s="361">
        <v>112090</v>
      </c>
      <c r="B7" s="362" t="s">
        <v>184</v>
      </c>
      <c r="C7" s="363">
        <v>915852</v>
      </c>
      <c r="D7" s="364">
        <v>68682</v>
      </c>
      <c r="E7" s="363"/>
      <c r="F7" s="365">
        <f>E7/D7*100</f>
        <v>0</v>
      </c>
      <c r="G7" s="366">
        <v>126600</v>
      </c>
      <c r="H7" s="364">
        <v>1017289</v>
      </c>
      <c r="I7" s="364"/>
      <c r="J7" s="367">
        <f>I7/H7*100</f>
        <v>0</v>
      </c>
      <c r="K7" s="363">
        <f t="shared" si="0"/>
        <v>1042452</v>
      </c>
      <c r="L7" s="364">
        <f t="shared" si="0"/>
        <v>1085971</v>
      </c>
      <c r="M7" s="364">
        <f t="shared" si="0"/>
        <v>0</v>
      </c>
      <c r="N7" s="368">
        <f>M7/L7*100</f>
        <v>0</v>
      </c>
      <c r="O7" s="338"/>
    </row>
    <row r="8" spans="1:15" ht="12.75">
      <c r="A8" s="369">
        <v>112111</v>
      </c>
      <c r="B8" s="370" t="s">
        <v>185</v>
      </c>
      <c r="C8" s="371">
        <v>40000</v>
      </c>
      <c r="D8" s="372">
        <v>0</v>
      </c>
      <c r="E8" s="371"/>
      <c r="F8" s="373"/>
      <c r="G8" s="374">
        <v>24185</v>
      </c>
      <c r="H8" s="372">
        <v>0</v>
      </c>
      <c r="I8" s="372"/>
      <c r="J8" s="375"/>
      <c r="K8" s="371">
        <f t="shared" si="0"/>
        <v>64185</v>
      </c>
      <c r="L8" s="372">
        <f t="shared" si="0"/>
        <v>0</v>
      </c>
      <c r="M8" s="372"/>
      <c r="N8" s="376"/>
      <c r="O8" s="338"/>
    </row>
    <row r="9" spans="1:15" ht="12.75">
      <c r="A9" s="369">
        <v>112111</v>
      </c>
      <c r="B9" s="370" t="s">
        <v>186</v>
      </c>
      <c r="C9" s="371">
        <v>228746</v>
      </c>
      <c r="D9" s="372">
        <v>284463</v>
      </c>
      <c r="E9" s="371">
        <v>9996</v>
      </c>
      <c r="F9" s="373">
        <f aca="true" t="shared" si="1" ref="F9:F15">E9/D9*100</f>
        <v>3.5139895170900957</v>
      </c>
      <c r="G9" s="374">
        <v>113899</v>
      </c>
      <c r="H9" s="372">
        <v>115529</v>
      </c>
      <c r="I9" s="372">
        <v>2788</v>
      </c>
      <c r="J9" s="375">
        <f aca="true" t="shared" si="2" ref="J9:J15">I9/H9*100</f>
        <v>2.4132468903911573</v>
      </c>
      <c r="K9" s="374">
        <f t="shared" si="0"/>
        <v>342645</v>
      </c>
      <c r="L9" s="372">
        <f t="shared" si="0"/>
        <v>399992</v>
      </c>
      <c r="M9" s="372">
        <f t="shared" si="0"/>
        <v>12784</v>
      </c>
      <c r="N9" s="376">
        <f aca="true" t="shared" si="3" ref="N9:N15">M9/L9*100</f>
        <v>3.1960639212784256</v>
      </c>
      <c r="O9" s="338"/>
    </row>
    <row r="10" spans="1:15" ht="12.75">
      <c r="A10" s="377">
        <v>112112</v>
      </c>
      <c r="B10" s="378" t="s">
        <v>185</v>
      </c>
      <c r="C10" s="379">
        <v>265128</v>
      </c>
      <c r="D10" s="380">
        <v>258209</v>
      </c>
      <c r="E10" s="379"/>
      <c r="F10" s="381">
        <f t="shared" si="1"/>
        <v>0</v>
      </c>
      <c r="G10" s="382">
        <v>254872</v>
      </c>
      <c r="H10" s="380">
        <v>407891</v>
      </c>
      <c r="I10" s="380"/>
      <c r="J10" s="383">
        <f t="shared" si="2"/>
        <v>0</v>
      </c>
      <c r="K10" s="382">
        <f t="shared" si="0"/>
        <v>520000</v>
      </c>
      <c r="L10" s="380">
        <f t="shared" si="0"/>
        <v>666100</v>
      </c>
      <c r="M10" s="380">
        <f t="shared" si="0"/>
        <v>0</v>
      </c>
      <c r="N10" s="384">
        <f t="shared" si="3"/>
        <v>0</v>
      </c>
      <c r="O10" s="338"/>
    </row>
    <row r="11" spans="1:15" ht="12.75">
      <c r="A11" s="377">
        <v>112110</v>
      </c>
      <c r="B11" s="385" t="s">
        <v>174</v>
      </c>
      <c r="C11" s="386">
        <f>C8+C9+C10</f>
        <v>533874</v>
      </c>
      <c r="D11" s="387">
        <f>D8+D9+D10</f>
        <v>542672</v>
      </c>
      <c r="E11" s="388">
        <f>E9+E10</f>
        <v>9996</v>
      </c>
      <c r="F11" s="389">
        <f t="shared" si="1"/>
        <v>1.8419966388536724</v>
      </c>
      <c r="G11" s="390">
        <f>G8+G9+G10</f>
        <v>392956</v>
      </c>
      <c r="H11" s="388">
        <f>H9+H10</f>
        <v>523420</v>
      </c>
      <c r="I11" s="388">
        <f>I9+I10</f>
        <v>2788</v>
      </c>
      <c r="J11" s="391">
        <f t="shared" si="2"/>
        <v>0.532650643842421</v>
      </c>
      <c r="K11" s="390">
        <f t="shared" si="0"/>
        <v>926830</v>
      </c>
      <c r="L11" s="388">
        <f t="shared" si="0"/>
        <v>1066092</v>
      </c>
      <c r="M11" s="388">
        <f t="shared" si="0"/>
        <v>12784</v>
      </c>
      <c r="N11" s="392">
        <f t="shared" si="3"/>
        <v>1.1991460399290117</v>
      </c>
      <c r="O11" s="338"/>
    </row>
    <row r="12" spans="1:15" ht="12.75">
      <c r="A12" s="393">
        <v>112211</v>
      </c>
      <c r="B12" s="394" t="s">
        <v>187</v>
      </c>
      <c r="C12" s="371">
        <v>215220</v>
      </c>
      <c r="D12" s="372">
        <v>204480</v>
      </c>
      <c r="E12" s="371"/>
      <c r="F12" s="373">
        <f t="shared" si="1"/>
        <v>0</v>
      </c>
      <c r="G12" s="374">
        <v>175080</v>
      </c>
      <c r="H12" s="372">
        <v>180503</v>
      </c>
      <c r="I12" s="372"/>
      <c r="J12" s="375">
        <f t="shared" si="2"/>
        <v>0</v>
      </c>
      <c r="K12" s="374">
        <f t="shared" si="0"/>
        <v>390300</v>
      </c>
      <c r="L12" s="372">
        <f t="shared" si="0"/>
        <v>384983</v>
      </c>
      <c r="M12" s="372">
        <f t="shared" si="0"/>
        <v>0</v>
      </c>
      <c r="N12" s="376">
        <f t="shared" si="3"/>
        <v>0</v>
      </c>
      <c r="O12" s="338"/>
    </row>
    <row r="13" spans="1:15" ht="12.75">
      <c r="A13" s="393">
        <v>112311</v>
      </c>
      <c r="B13" s="394" t="s">
        <v>188</v>
      </c>
      <c r="C13" s="371">
        <v>300025</v>
      </c>
      <c r="D13" s="372">
        <v>273225</v>
      </c>
      <c r="E13" s="371"/>
      <c r="F13" s="373">
        <f t="shared" si="1"/>
        <v>0</v>
      </c>
      <c r="G13" s="374">
        <v>29932</v>
      </c>
      <c r="H13" s="372">
        <v>82082</v>
      </c>
      <c r="I13" s="372"/>
      <c r="J13" s="375">
        <f t="shared" si="2"/>
        <v>0</v>
      </c>
      <c r="K13" s="374">
        <f t="shared" si="0"/>
        <v>329957</v>
      </c>
      <c r="L13" s="372">
        <f t="shared" si="0"/>
        <v>355307</v>
      </c>
      <c r="M13" s="372">
        <f t="shared" si="0"/>
        <v>0</v>
      </c>
      <c r="N13" s="376">
        <f t="shared" si="3"/>
        <v>0</v>
      </c>
      <c r="O13" s="338"/>
    </row>
    <row r="14" spans="1:15" ht="13.5" thickBot="1">
      <c r="A14" s="395">
        <v>212910</v>
      </c>
      <c r="B14" s="396" t="s">
        <v>184</v>
      </c>
      <c r="C14" s="355">
        <v>28175</v>
      </c>
      <c r="D14" s="397">
        <v>25969</v>
      </c>
      <c r="E14" s="398"/>
      <c r="F14" s="399">
        <f t="shared" si="1"/>
        <v>0</v>
      </c>
      <c r="G14" s="400">
        <v>31825</v>
      </c>
      <c r="H14" s="397">
        <v>31031</v>
      </c>
      <c r="I14" s="397"/>
      <c r="J14" s="401">
        <f t="shared" si="2"/>
        <v>0</v>
      </c>
      <c r="K14" s="355">
        <f t="shared" si="0"/>
        <v>60000</v>
      </c>
      <c r="L14" s="397">
        <f t="shared" si="0"/>
        <v>57000</v>
      </c>
      <c r="M14" s="397">
        <f t="shared" si="0"/>
        <v>0</v>
      </c>
      <c r="N14" s="360">
        <f t="shared" si="3"/>
        <v>0</v>
      </c>
      <c r="O14" s="338"/>
    </row>
    <row r="15" spans="1:15" ht="13.5" thickBot="1">
      <c r="A15" s="972" t="s">
        <v>189</v>
      </c>
      <c r="B15" s="973"/>
      <c r="C15" s="402">
        <f>C6+C7+C11+C12+C13+C14</f>
        <v>2330368</v>
      </c>
      <c r="D15" s="403">
        <f>D6+D7+D11+D12+D13+D14</f>
        <v>1485643</v>
      </c>
      <c r="E15" s="403">
        <f>E6+E7+E11+E12+E13+E14</f>
        <v>9996</v>
      </c>
      <c r="F15" s="404">
        <f t="shared" si="1"/>
        <v>0.672839975687295</v>
      </c>
      <c r="G15" s="405">
        <f>G6+G7+G11+G12+G13+G14</f>
        <v>888016</v>
      </c>
      <c r="H15" s="405">
        <f>H6+H7+H11+H12+H13+H14</f>
        <v>2001885</v>
      </c>
      <c r="I15" s="405">
        <f>I6+I7+I11+I12+I13+I14</f>
        <v>2788</v>
      </c>
      <c r="J15" s="404">
        <f t="shared" si="2"/>
        <v>0.13926873921329147</v>
      </c>
      <c r="K15" s="402">
        <f>K6+K7+K11+K12+K13+K14</f>
        <v>3218384</v>
      </c>
      <c r="L15" s="403">
        <f>L6+L7+L11+L12+L13+L14</f>
        <v>3487528</v>
      </c>
      <c r="M15" s="406">
        <f>M6+M7+M11+M12+M13+M14</f>
        <v>12784</v>
      </c>
      <c r="N15" s="407">
        <f t="shared" si="3"/>
        <v>0.3665633652260283</v>
      </c>
      <c r="O15" s="338"/>
    </row>
    <row r="16" spans="1:15" ht="4.5" customHeight="1">
      <c r="A16" s="408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10"/>
      <c r="O16" s="338"/>
    </row>
    <row r="17" spans="1:15" ht="15.75">
      <c r="A17" s="974" t="s">
        <v>350</v>
      </c>
      <c r="B17" s="975"/>
      <c r="C17" s="97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411"/>
    </row>
    <row r="18" spans="1:15" ht="3.75" customHeight="1" thickBot="1">
      <c r="A18" s="338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</row>
    <row r="19" spans="1:15" ht="13.5" thickBot="1">
      <c r="A19" s="342" t="s">
        <v>170</v>
      </c>
      <c r="B19" s="412"/>
      <c r="C19" s="953" t="s">
        <v>172</v>
      </c>
      <c r="D19" s="967"/>
      <c r="E19" s="967"/>
      <c r="F19" s="968"/>
      <c r="G19" s="969" t="s">
        <v>173</v>
      </c>
      <c r="H19" s="970"/>
      <c r="I19" s="970"/>
      <c r="J19" s="971"/>
      <c r="K19" s="969" t="s">
        <v>174</v>
      </c>
      <c r="L19" s="970"/>
      <c r="M19" s="970"/>
      <c r="N19" s="971"/>
      <c r="O19" s="338"/>
    </row>
    <row r="20" spans="1:15" ht="12.75">
      <c r="A20" s="413" t="s">
        <v>175</v>
      </c>
      <c r="B20" s="343" t="s">
        <v>184</v>
      </c>
      <c r="C20" s="341" t="s">
        <v>177</v>
      </c>
      <c r="D20" s="346" t="s">
        <v>178</v>
      </c>
      <c r="E20" s="414" t="s">
        <v>179</v>
      </c>
      <c r="F20" s="347" t="s">
        <v>180</v>
      </c>
      <c r="G20" s="345" t="s">
        <v>177</v>
      </c>
      <c r="H20" s="346" t="s">
        <v>178</v>
      </c>
      <c r="I20" s="346" t="s">
        <v>179</v>
      </c>
      <c r="J20" s="347" t="s">
        <v>180</v>
      </c>
      <c r="K20" s="341" t="s">
        <v>177</v>
      </c>
      <c r="L20" s="346" t="s">
        <v>178</v>
      </c>
      <c r="M20" s="346" t="s">
        <v>179</v>
      </c>
      <c r="N20" s="347" t="s">
        <v>180</v>
      </c>
      <c r="O20" s="338"/>
    </row>
    <row r="21" spans="1:15" ht="13.5" thickBot="1">
      <c r="A21" s="413" t="s">
        <v>181</v>
      </c>
      <c r="B21" s="396"/>
      <c r="C21" s="415"/>
      <c r="D21" s="350" t="s">
        <v>103</v>
      </c>
      <c r="E21" s="350" t="s">
        <v>103</v>
      </c>
      <c r="F21" s="352" t="s">
        <v>183</v>
      </c>
      <c r="G21" s="416"/>
      <c r="H21" s="350" t="s">
        <v>103</v>
      </c>
      <c r="I21" s="350" t="s">
        <v>103</v>
      </c>
      <c r="J21" s="352" t="s">
        <v>183</v>
      </c>
      <c r="K21" s="415"/>
      <c r="L21" s="350" t="s">
        <v>103</v>
      </c>
      <c r="M21" s="350" t="s">
        <v>103</v>
      </c>
      <c r="N21" s="352" t="s">
        <v>183</v>
      </c>
      <c r="O21" s="338"/>
    </row>
    <row r="22" spans="1:15" ht="12.75">
      <c r="A22" s="417" t="s">
        <v>191</v>
      </c>
      <c r="B22" s="418" t="s">
        <v>184</v>
      </c>
      <c r="C22" s="419"/>
      <c r="D22" s="420"/>
      <c r="E22" s="421"/>
      <c r="F22" s="422"/>
      <c r="G22" s="419">
        <v>91006</v>
      </c>
      <c r="H22" s="420">
        <v>62737</v>
      </c>
      <c r="I22" s="356"/>
      <c r="J22" s="423">
        <f aca="true" t="shared" si="4" ref="J22:J28">I22/H22*100</f>
        <v>0</v>
      </c>
      <c r="K22" s="424">
        <f aca="true" t="shared" si="5" ref="K22:M27">G22+C22</f>
        <v>91006</v>
      </c>
      <c r="L22" s="425">
        <f t="shared" si="5"/>
        <v>62737</v>
      </c>
      <c r="M22" s="425">
        <f t="shared" si="5"/>
        <v>0</v>
      </c>
      <c r="N22" s="423">
        <f aca="true" t="shared" si="6" ref="N22:N28">M22/L22*100</f>
        <v>0</v>
      </c>
      <c r="O22" s="338"/>
    </row>
    <row r="23" spans="1:15" ht="12.75">
      <c r="A23" s="426" t="s">
        <v>192</v>
      </c>
      <c r="B23" s="427" t="s">
        <v>184</v>
      </c>
      <c r="C23" s="428"/>
      <c r="D23" s="429"/>
      <c r="E23" s="430"/>
      <c r="F23" s="431"/>
      <c r="G23" s="428">
        <v>27900</v>
      </c>
      <c r="H23" s="429">
        <v>17700</v>
      </c>
      <c r="I23" s="429"/>
      <c r="J23" s="432">
        <f t="shared" si="4"/>
        <v>0</v>
      </c>
      <c r="K23" s="428">
        <f t="shared" si="5"/>
        <v>27900</v>
      </c>
      <c r="L23" s="429">
        <f t="shared" si="5"/>
        <v>17700</v>
      </c>
      <c r="M23" s="429">
        <f t="shared" si="5"/>
        <v>0</v>
      </c>
      <c r="N23" s="432">
        <f t="shared" si="6"/>
        <v>0</v>
      </c>
      <c r="O23" s="338"/>
    </row>
    <row r="24" spans="1:15" ht="12.75">
      <c r="A24" s="426" t="s">
        <v>193</v>
      </c>
      <c r="B24" s="427" t="s">
        <v>184</v>
      </c>
      <c r="C24" s="428"/>
      <c r="D24" s="429"/>
      <c r="E24" s="430"/>
      <c r="F24" s="431"/>
      <c r="G24" s="428">
        <v>1600</v>
      </c>
      <c r="H24" s="429">
        <v>4575</v>
      </c>
      <c r="I24" s="429"/>
      <c r="J24" s="432">
        <f t="shared" si="4"/>
        <v>0</v>
      </c>
      <c r="K24" s="428">
        <f t="shared" si="5"/>
        <v>1600</v>
      </c>
      <c r="L24" s="429">
        <f t="shared" si="5"/>
        <v>4575</v>
      </c>
      <c r="M24" s="429">
        <f t="shared" si="5"/>
        <v>0</v>
      </c>
      <c r="N24" s="432">
        <f t="shared" si="6"/>
        <v>0</v>
      </c>
      <c r="O24" s="338"/>
    </row>
    <row r="25" spans="1:15" ht="12.75">
      <c r="A25" s="426" t="s">
        <v>194</v>
      </c>
      <c r="B25" s="427" t="s">
        <v>184</v>
      </c>
      <c r="C25" s="428"/>
      <c r="D25" s="429"/>
      <c r="E25" s="430"/>
      <c r="F25" s="431"/>
      <c r="G25" s="428">
        <v>8100</v>
      </c>
      <c r="H25" s="429">
        <v>34794</v>
      </c>
      <c r="I25" s="429"/>
      <c r="J25" s="432">
        <f t="shared" si="4"/>
        <v>0</v>
      </c>
      <c r="K25" s="428">
        <f t="shared" si="5"/>
        <v>8100</v>
      </c>
      <c r="L25" s="429">
        <f t="shared" si="5"/>
        <v>34794</v>
      </c>
      <c r="M25" s="429">
        <f t="shared" si="5"/>
        <v>0</v>
      </c>
      <c r="N25" s="432">
        <f t="shared" si="6"/>
        <v>0</v>
      </c>
      <c r="O25" s="338"/>
    </row>
    <row r="26" spans="1:15" ht="12.75">
      <c r="A26" s="426" t="s">
        <v>195</v>
      </c>
      <c r="B26" s="427" t="s">
        <v>184</v>
      </c>
      <c r="C26" s="428"/>
      <c r="D26" s="429"/>
      <c r="E26" s="430"/>
      <c r="F26" s="431"/>
      <c r="G26" s="428">
        <v>3300</v>
      </c>
      <c r="H26" s="429">
        <v>15350</v>
      </c>
      <c r="I26" s="429"/>
      <c r="J26" s="432">
        <f t="shared" si="4"/>
        <v>0</v>
      </c>
      <c r="K26" s="428">
        <f t="shared" si="5"/>
        <v>3300</v>
      </c>
      <c r="L26" s="429">
        <f t="shared" si="5"/>
        <v>15350</v>
      </c>
      <c r="M26" s="429">
        <f t="shared" si="5"/>
        <v>0</v>
      </c>
      <c r="N26" s="432">
        <f t="shared" si="6"/>
        <v>0</v>
      </c>
      <c r="O26" s="338"/>
    </row>
    <row r="27" spans="1:15" ht="12.75">
      <c r="A27" s="426" t="s">
        <v>196</v>
      </c>
      <c r="B27" s="427" t="s">
        <v>184</v>
      </c>
      <c r="C27" s="428"/>
      <c r="D27" s="429"/>
      <c r="E27" s="430"/>
      <c r="F27" s="431"/>
      <c r="G27" s="428">
        <v>3124</v>
      </c>
      <c r="H27" s="429">
        <v>1409</v>
      </c>
      <c r="I27" s="429"/>
      <c r="J27" s="432">
        <f t="shared" si="4"/>
        <v>0</v>
      </c>
      <c r="K27" s="428">
        <f>G27+C27</f>
        <v>3124</v>
      </c>
      <c r="L27" s="429">
        <f>H27+D27</f>
        <v>1409</v>
      </c>
      <c r="M27" s="425">
        <f t="shared" si="5"/>
        <v>0</v>
      </c>
      <c r="N27" s="432">
        <f t="shared" si="6"/>
        <v>0</v>
      </c>
      <c r="O27" s="338"/>
    </row>
    <row r="28" spans="1:15" ht="12.75">
      <c r="A28" s="426">
        <v>112012</v>
      </c>
      <c r="B28" s="433" t="s">
        <v>174</v>
      </c>
      <c r="C28" s="434">
        <f>C22+C23+C24+C25+C26+C27</f>
        <v>0</v>
      </c>
      <c r="D28" s="387">
        <f>D22+D23+D24+D25+D26+D27</f>
        <v>0</v>
      </c>
      <c r="E28" s="435">
        <f>E22+E23+E24+E25+E26+E27</f>
        <v>0</v>
      </c>
      <c r="F28" s="431"/>
      <c r="G28" s="436">
        <f>SUM(G22:G27)</f>
        <v>135030</v>
      </c>
      <c r="H28" s="387">
        <f>SUM(H22:H27)</f>
        <v>136565</v>
      </c>
      <c r="I28" s="387">
        <f>SUM(I22:I27)</f>
        <v>0</v>
      </c>
      <c r="J28" s="437">
        <f t="shared" si="4"/>
        <v>0</v>
      </c>
      <c r="K28" s="434">
        <f>G28+C28</f>
        <v>135030</v>
      </c>
      <c r="L28" s="387">
        <f>H28+D28</f>
        <v>136565</v>
      </c>
      <c r="M28" s="387">
        <f>I28+E28</f>
        <v>0</v>
      </c>
      <c r="N28" s="437">
        <f t="shared" si="6"/>
        <v>0</v>
      </c>
      <c r="O28" s="338"/>
    </row>
    <row r="29" spans="1:15" ht="13.5" thickBot="1">
      <c r="A29" s="426">
        <v>112120</v>
      </c>
      <c r="B29" s="438" t="s">
        <v>197</v>
      </c>
      <c r="C29" s="428"/>
      <c r="D29" s="429"/>
      <c r="E29" s="429"/>
      <c r="F29" s="431"/>
      <c r="G29" s="430">
        <v>55114</v>
      </c>
      <c r="H29" s="429">
        <v>0</v>
      </c>
      <c r="I29" s="429"/>
      <c r="J29" s="432"/>
      <c r="K29" s="428">
        <f>G29+C29</f>
        <v>55114</v>
      </c>
      <c r="L29" s="429">
        <f>H29</f>
        <v>0</v>
      </c>
      <c r="M29" s="429"/>
      <c r="N29" s="432"/>
      <c r="O29" s="338"/>
    </row>
    <row r="30" spans="1:15" ht="13.5" thickBot="1">
      <c r="A30" s="439" t="s">
        <v>198</v>
      </c>
      <c r="B30" s="440"/>
      <c r="C30" s="441">
        <f>C28+C29</f>
        <v>0</v>
      </c>
      <c r="D30" s="442">
        <f>D28+D29</f>
        <v>0</v>
      </c>
      <c r="E30" s="442">
        <f>E28+E29</f>
        <v>0</v>
      </c>
      <c r="F30" s="443"/>
      <c r="G30" s="406">
        <f>G28+G29</f>
        <v>190144</v>
      </c>
      <c r="H30" s="403">
        <f>H28+H29</f>
        <v>136565</v>
      </c>
      <c r="I30" s="403">
        <f>I28+I29</f>
        <v>0</v>
      </c>
      <c r="J30" s="404">
        <f>I30/H30*100</f>
        <v>0</v>
      </c>
      <c r="K30" s="402">
        <f>K28+K29</f>
        <v>190144</v>
      </c>
      <c r="L30" s="403">
        <f>L28+L29</f>
        <v>136565</v>
      </c>
      <c r="M30" s="403">
        <f>M28+M29</f>
        <v>0</v>
      </c>
      <c r="N30" s="404">
        <f>M30/L30*100</f>
        <v>0</v>
      </c>
      <c r="O30" s="338"/>
    </row>
    <row r="31" spans="1:15" ht="12.75">
      <c r="A31" s="361">
        <v>112010</v>
      </c>
      <c r="B31" s="362" t="s">
        <v>184</v>
      </c>
      <c r="C31" s="363">
        <f>C6+C28</f>
        <v>337222</v>
      </c>
      <c r="D31" s="364">
        <f>D6+D28</f>
        <v>370615</v>
      </c>
      <c r="E31" s="363">
        <f>E6+E28</f>
        <v>0</v>
      </c>
      <c r="F31" s="365">
        <f>E31/D31*100</f>
        <v>0</v>
      </c>
      <c r="G31" s="366">
        <f>G6+G28</f>
        <v>266653</v>
      </c>
      <c r="H31" s="364">
        <f>H6+H28</f>
        <v>304125</v>
      </c>
      <c r="I31" s="364">
        <f>I6+I28</f>
        <v>0</v>
      </c>
      <c r="J31" s="444">
        <f>I31/H31*100</f>
        <v>0</v>
      </c>
      <c r="K31" s="363">
        <f>K6+K28</f>
        <v>603875</v>
      </c>
      <c r="L31" s="356">
        <f>L6+L28</f>
        <v>674740</v>
      </c>
      <c r="M31" s="364">
        <f>E31+I31</f>
        <v>0</v>
      </c>
      <c r="N31" s="368">
        <f>M31/L31*100</f>
        <v>0</v>
      </c>
      <c r="O31" s="338"/>
    </row>
    <row r="32" spans="1:15" ht="12.75">
      <c r="A32" s="445">
        <v>112090</v>
      </c>
      <c r="B32" s="446" t="s">
        <v>184</v>
      </c>
      <c r="C32" s="447">
        <v>915852</v>
      </c>
      <c r="D32" s="448">
        <f>D7</f>
        <v>68682</v>
      </c>
      <c r="E32" s="448">
        <f>E7</f>
        <v>0</v>
      </c>
      <c r="F32" s="449">
        <f>E32/D32*100</f>
        <v>0</v>
      </c>
      <c r="G32" s="450">
        <v>126600</v>
      </c>
      <c r="H32" s="448">
        <f>H7</f>
        <v>1017289</v>
      </c>
      <c r="I32" s="448">
        <f>I7</f>
        <v>0</v>
      </c>
      <c r="J32" s="451">
        <f>I32/H32*100</f>
        <v>0</v>
      </c>
      <c r="K32" s="447">
        <f aca="true" t="shared" si="7" ref="K32:M33">C32+G32</f>
        <v>1042452</v>
      </c>
      <c r="L32" s="448">
        <f t="shared" si="7"/>
        <v>1085971</v>
      </c>
      <c r="M32" s="448">
        <f t="shared" si="7"/>
        <v>0</v>
      </c>
      <c r="N32" s="452">
        <f>M32/L32*100</f>
        <v>0</v>
      </c>
      <c r="O32" s="338"/>
    </row>
    <row r="33" spans="1:15" ht="13.5" thickBot="1">
      <c r="A33" s="395">
        <v>212910</v>
      </c>
      <c r="B33" s="396" t="s">
        <v>184</v>
      </c>
      <c r="C33" s="355">
        <v>28175</v>
      </c>
      <c r="D33" s="397">
        <f>D14</f>
        <v>25969</v>
      </c>
      <c r="E33" s="397">
        <f>E14</f>
        <v>0</v>
      </c>
      <c r="F33" s="399">
        <f>E33/D33*100</f>
        <v>0</v>
      </c>
      <c r="G33" s="400">
        <v>31825</v>
      </c>
      <c r="H33" s="397">
        <f>H14</f>
        <v>31031</v>
      </c>
      <c r="I33" s="397">
        <f>I14</f>
        <v>0</v>
      </c>
      <c r="J33" s="401">
        <f>I33/H33*100</f>
        <v>0</v>
      </c>
      <c r="K33" s="355">
        <f t="shared" si="7"/>
        <v>60000</v>
      </c>
      <c r="L33" s="397">
        <f t="shared" si="7"/>
        <v>57000</v>
      </c>
      <c r="M33" s="397">
        <f t="shared" si="7"/>
        <v>0</v>
      </c>
      <c r="N33" s="360">
        <f>M33/L33*100</f>
        <v>0</v>
      </c>
      <c r="O33" s="338"/>
    </row>
    <row r="34" spans="1:15" ht="13.5" thickBot="1">
      <c r="A34" s="972" t="s">
        <v>199</v>
      </c>
      <c r="B34" s="973"/>
      <c r="C34" s="453">
        <f>SUM(C31:C33)</f>
        <v>1281249</v>
      </c>
      <c r="D34" s="403">
        <f>SUM(D31:D33)</f>
        <v>465266</v>
      </c>
      <c r="E34" s="403">
        <f>SUM(E31:E33)</f>
        <v>0</v>
      </c>
      <c r="F34" s="454">
        <f>E34/D34*100</f>
        <v>0</v>
      </c>
      <c r="G34" s="405">
        <f>SUM(G31:G33)</f>
        <v>425078</v>
      </c>
      <c r="H34" s="403">
        <f>SUM(H31:H33)</f>
        <v>1352445</v>
      </c>
      <c r="I34" s="403">
        <f>SUM(I31:I33)</f>
        <v>0</v>
      </c>
      <c r="J34" s="454">
        <f>I34/H34*100</f>
        <v>0</v>
      </c>
      <c r="K34" s="406">
        <f>SUM(K31:K33)</f>
        <v>1706327</v>
      </c>
      <c r="L34" s="403">
        <f>SUM(L31:L33)</f>
        <v>1817711</v>
      </c>
      <c r="M34" s="403">
        <f>SUM(M31:M33)</f>
        <v>0</v>
      </c>
      <c r="N34" s="454">
        <f>M34/L34*100</f>
        <v>0</v>
      </c>
      <c r="O34" s="411"/>
    </row>
    <row r="35" spans="1:15" ht="12.75">
      <c r="A35" s="369">
        <v>112111</v>
      </c>
      <c r="B35" s="370" t="s">
        <v>185</v>
      </c>
      <c r="C35" s="455">
        <v>40000</v>
      </c>
      <c r="D35" s="372">
        <f>D8</f>
        <v>0</v>
      </c>
      <c r="E35" s="372">
        <f>E8</f>
        <v>0</v>
      </c>
      <c r="F35" s="456"/>
      <c r="G35" s="455">
        <v>24185</v>
      </c>
      <c r="H35" s="372"/>
      <c r="I35" s="372"/>
      <c r="J35" s="457"/>
      <c r="K35" s="371">
        <f>C35+G35</f>
        <v>64185</v>
      </c>
      <c r="L35" s="372">
        <f>D35+H35</f>
        <v>0</v>
      </c>
      <c r="M35" s="372"/>
      <c r="N35" s="376"/>
      <c r="O35" s="338"/>
    </row>
    <row r="36" spans="1:15" ht="13.5" thickBot="1">
      <c r="A36" s="377">
        <v>112112</v>
      </c>
      <c r="B36" s="378" t="s">
        <v>185</v>
      </c>
      <c r="C36" s="458">
        <v>265128</v>
      </c>
      <c r="D36" s="380">
        <f>D10</f>
        <v>258209</v>
      </c>
      <c r="E36" s="380">
        <f>E10</f>
        <v>0</v>
      </c>
      <c r="F36" s="459">
        <f>E36/D36*100</f>
        <v>0</v>
      </c>
      <c r="G36" s="458">
        <v>254872</v>
      </c>
      <c r="H36" s="380">
        <f>H10</f>
        <v>407891</v>
      </c>
      <c r="I36" s="380">
        <f>I10</f>
        <v>0</v>
      </c>
      <c r="J36" s="460">
        <f>I36/H36*100</f>
        <v>0</v>
      </c>
      <c r="K36" s="382">
        <f>C36+G36</f>
        <v>520000</v>
      </c>
      <c r="L36" s="380">
        <f>D36+H36</f>
        <v>666100</v>
      </c>
      <c r="M36" s="380">
        <f>E36+I36</f>
        <v>0</v>
      </c>
      <c r="N36" s="384">
        <f>M36/L36*100</f>
        <v>0</v>
      </c>
      <c r="O36" s="338"/>
    </row>
    <row r="37" spans="1:15" ht="13.5" thickBot="1">
      <c r="A37" s="972" t="s">
        <v>199</v>
      </c>
      <c r="B37" s="973"/>
      <c r="C37" s="453">
        <f aca="true" t="shared" si="8" ref="C37:N37">SUM(C34:C36)</f>
        <v>1586377</v>
      </c>
      <c r="D37" s="403">
        <f t="shared" si="8"/>
        <v>723475</v>
      </c>
      <c r="E37" s="403">
        <f t="shared" si="8"/>
        <v>0</v>
      </c>
      <c r="F37" s="461">
        <f t="shared" si="8"/>
        <v>0</v>
      </c>
      <c r="G37" s="405">
        <f t="shared" si="8"/>
        <v>704135</v>
      </c>
      <c r="H37" s="403">
        <f t="shared" si="8"/>
        <v>1760336</v>
      </c>
      <c r="I37" s="403">
        <f t="shared" si="8"/>
        <v>0</v>
      </c>
      <c r="J37" s="406">
        <f t="shared" si="8"/>
        <v>0</v>
      </c>
      <c r="K37" s="402">
        <f t="shared" si="8"/>
        <v>2290512</v>
      </c>
      <c r="L37" s="403">
        <f t="shared" si="8"/>
        <v>2483811</v>
      </c>
      <c r="M37" s="403">
        <f t="shared" si="8"/>
        <v>0</v>
      </c>
      <c r="N37" s="461">
        <f t="shared" si="8"/>
        <v>0</v>
      </c>
      <c r="O37" s="411"/>
    </row>
    <row r="38" spans="1:15" ht="16.5" customHeight="1" thickBot="1">
      <c r="A38" s="462"/>
      <c r="B38" s="462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338"/>
      <c r="N38" s="338"/>
      <c r="O38" s="338"/>
    </row>
    <row r="39" spans="1:15" ht="13.5" thickBot="1">
      <c r="A39" s="342" t="s">
        <v>170</v>
      </c>
      <c r="B39" s="412"/>
      <c r="C39" s="953" t="s">
        <v>172</v>
      </c>
      <c r="D39" s="967"/>
      <c r="E39" s="967"/>
      <c r="F39" s="968"/>
      <c r="G39" s="969" t="s">
        <v>173</v>
      </c>
      <c r="H39" s="970"/>
      <c r="I39" s="970"/>
      <c r="J39" s="971"/>
      <c r="K39" s="969" t="s">
        <v>174</v>
      </c>
      <c r="L39" s="970"/>
      <c r="M39" s="970"/>
      <c r="N39" s="971"/>
      <c r="O39" s="411"/>
    </row>
    <row r="40" spans="1:15" ht="12.75">
      <c r="A40" s="413" t="s">
        <v>175</v>
      </c>
      <c r="B40" s="343" t="s">
        <v>186</v>
      </c>
      <c r="C40" s="341" t="s">
        <v>177</v>
      </c>
      <c r="D40" s="346" t="s">
        <v>178</v>
      </c>
      <c r="E40" s="346" t="s">
        <v>179</v>
      </c>
      <c r="F40" s="347" t="s">
        <v>180</v>
      </c>
      <c r="G40" s="345" t="s">
        <v>177</v>
      </c>
      <c r="H40" s="346" t="s">
        <v>178</v>
      </c>
      <c r="I40" s="346" t="s">
        <v>179</v>
      </c>
      <c r="J40" s="347" t="s">
        <v>180</v>
      </c>
      <c r="K40" s="341" t="s">
        <v>177</v>
      </c>
      <c r="L40" s="346" t="s">
        <v>178</v>
      </c>
      <c r="M40" s="346" t="s">
        <v>179</v>
      </c>
      <c r="N40" s="347" t="s">
        <v>180</v>
      </c>
      <c r="O40" s="338"/>
    </row>
    <row r="41" spans="1:15" ht="13.5" thickBot="1">
      <c r="A41" s="413" t="s">
        <v>181</v>
      </c>
      <c r="B41" s="396"/>
      <c r="C41" s="415"/>
      <c r="D41" s="350" t="s">
        <v>103</v>
      </c>
      <c r="E41" s="350" t="s">
        <v>103</v>
      </c>
      <c r="F41" s="351" t="s">
        <v>183</v>
      </c>
      <c r="G41" s="464"/>
      <c r="H41" s="350" t="s">
        <v>103</v>
      </c>
      <c r="I41" s="350" t="s">
        <v>103</v>
      </c>
      <c r="J41" s="351" t="s">
        <v>183</v>
      </c>
      <c r="K41" s="415"/>
      <c r="L41" s="350" t="s">
        <v>103</v>
      </c>
      <c r="M41" s="350" t="s">
        <v>103</v>
      </c>
      <c r="N41" s="351" t="s">
        <v>183</v>
      </c>
      <c r="O41" s="338"/>
    </row>
    <row r="42" spans="1:15" ht="12.75">
      <c r="A42" s="465" t="s">
        <v>200</v>
      </c>
      <c r="B42" s="466" t="s">
        <v>201</v>
      </c>
      <c r="C42" s="467"/>
      <c r="D42" s="468"/>
      <c r="E42" s="468"/>
      <c r="F42" s="469"/>
      <c r="G42" s="467">
        <v>538</v>
      </c>
      <c r="H42" s="468">
        <v>11868</v>
      </c>
      <c r="I42" s="468">
        <v>10809</v>
      </c>
      <c r="J42" s="470">
        <f>I42/H42*100</f>
        <v>91.0768452982811</v>
      </c>
      <c r="K42" s="424">
        <f aca="true" t="shared" si="9" ref="K42:M50">C42+G42</f>
        <v>538</v>
      </c>
      <c r="L42" s="425">
        <f t="shared" si="9"/>
        <v>11868</v>
      </c>
      <c r="M42" s="425">
        <f t="shared" si="9"/>
        <v>10809</v>
      </c>
      <c r="N42" s="470">
        <f>M42/L42*100</f>
        <v>91.0768452982811</v>
      </c>
      <c r="O42" s="338"/>
    </row>
    <row r="43" spans="1:15" ht="12.75">
      <c r="A43" s="471" t="s">
        <v>202</v>
      </c>
      <c r="B43" s="472" t="s">
        <v>203</v>
      </c>
      <c r="C43" s="430"/>
      <c r="D43" s="429"/>
      <c r="E43" s="429"/>
      <c r="F43" s="432"/>
      <c r="G43" s="430">
        <v>30000</v>
      </c>
      <c r="H43" s="429">
        <v>34466</v>
      </c>
      <c r="I43" s="429">
        <v>48</v>
      </c>
      <c r="J43" s="473">
        <f>I43/H43*100</f>
        <v>0.1392676840944699</v>
      </c>
      <c r="K43" s="428">
        <f t="shared" si="9"/>
        <v>30000</v>
      </c>
      <c r="L43" s="429">
        <f t="shared" si="9"/>
        <v>34466</v>
      </c>
      <c r="M43" s="429">
        <f t="shared" si="9"/>
        <v>48</v>
      </c>
      <c r="N43" s="473">
        <f>M43/L43*100</f>
        <v>0.1392676840944699</v>
      </c>
      <c r="O43" s="338"/>
    </row>
    <row r="44" spans="1:15" ht="12.75">
      <c r="A44" s="471" t="s">
        <v>204</v>
      </c>
      <c r="B44" s="472" t="s">
        <v>205</v>
      </c>
      <c r="C44" s="430"/>
      <c r="D44" s="429"/>
      <c r="E44" s="429"/>
      <c r="F44" s="432"/>
      <c r="G44" s="430"/>
      <c r="H44" s="429">
        <v>2552</v>
      </c>
      <c r="I44" s="429">
        <v>407</v>
      </c>
      <c r="J44" s="473"/>
      <c r="K44" s="428"/>
      <c r="L44" s="429">
        <f t="shared" si="9"/>
        <v>2552</v>
      </c>
      <c r="M44" s="429">
        <f t="shared" si="9"/>
        <v>407</v>
      </c>
      <c r="N44" s="473"/>
      <c r="O44" s="338"/>
    </row>
    <row r="45" spans="1:15" ht="12.75">
      <c r="A45" s="471" t="s">
        <v>206</v>
      </c>
      <c r="B45" s="472" t="s">
        <v>207</v>
      </c>
      <c r="C45" s="430"/>
      <c r="D45" s="429"/>
      <c r="E45" s="429"/>
      <c r="F45" s="432"/>
      <c r="G45" s="430">
        <v>61932</v>
      </c>
      <c r="H45" s="429">
        <v>81685</v>
      </c>
      <c r="I45" s="372">
        <f>5894+155</f>
        <v>6049</v>
      </c>
      <c r="J45" s="473">
        <f>I45/H45*100</f>
        <v>7.405276366529963</v>
      </c>
      <c r="K45" s="428">
        <f>C45+G45</f>
        <v>61932</v>
      </c>
      <c r="L45" s="429">
        <f>D45+H45</f>
        <v>81685</v>
      </c>
      <c r="M45" s="429">
        <f t="shared" si="9"/>
        <v>6049</v>
      </c>
      <c r="N45" s="473">
        <f>M45/L45*100</f>
        <v>7.405276366529963</v>
      </c>
      <c r="O45" s="338"/>
    </row>
    <row r="46" spans="1:15" ht="12.75">
      <c r="A46" s="471" t="s">
        <v>208</v>
      </c>
      <c r="B46" s="472" t="s">
        <v>209</v>
      </c>
      <c r="C46" s="430"/>
      <c r="D46" s="429"/>
      <c r="E46" s="429"/>
      <c r="F46" s="432"/>
      <c r="G46" s="430"/>
      <c r="H46" s="429">
        <v>3043</v>
      </c>
      <c r="I46" s="429">
        <v>749</v>
      </c>
      <c r="J46" s="473"/>
      <c r="K46" s="428"/>
      <c r="L46" s="429">
        <f>D46+H46</f>
        <v>3043</v>
      </c>
      <c r="M46" s="429">
        <f t="shared" si="9"/>
        <v>749</v>
      </c>
      <c r="N46" s="473"/>
      <c r="O46" s="338"/>
    </row>
    <row r="47" spans="1:15" ht="12.75">
      <c r="A47" s="471" t="s">
        <v>210</v>
      </c>
      <c r="B47" s="472" t="s">
        <v>211</v>
      </c>
      <c r="C47" s="430"/>
      <c r="D47" s="429"/>
      <c r="E47" s="429"/>
      <c r="F47" s="432"/>
      <c r="G47" s="430"/>
      <c r="H47" s="429">
        <v>2089</v>
      </c>
      <c r="I47" s="429">
        <v>282</v>
      </c>
      <c r="J47" s="473"/>
      <c r="K47" s="428"/>
      <c r="L47" s="429">
        <f>D47+H47</f>
        <v>2089</v>
      </c>
      <c r="M47" s="429">
        <f t="shared" si="9"/>
        <v>282</v>
      </c>
      <c r="N47" s="473"/>
      <c r="O47" s="338"/>
    </row>
    <row r="48" spans="1:15" ht="12.75">
      <c r="A48" s="471" t="s">
        <v>212</v>
      </c>
      <c r="B48" s="472" t="s">
        <v>213</v>
      </c>
      <c r="C48" s="430"/>
      <c r="D48" s="429"/>
      <c r="E48" s="429"/>
      <c r="F48" s="432"/>
      <c r="G48" s="430">
        <v>10840</v>
      </c>
      <c r="H48" s="429">
        <v>71981</v>
      </c>
      <c r="I48" s="429">
        <v>8370</v>
      </c>
      <c r="J48" s="473">
        <f>I48/H48*100</f>
        <v>11.62806851808116</v>
      </c>
      <c r="K48" s="428">
        <f aca="true" t="shared" si="10" ref="K48:L50">C48+G48</f>
        <v>10840</v>
      </c>
      <c r="L48" s="429">
        <f t="shared" si="10"/>
        <v>71981</v>
      </c>
      <c r="M48" s="429">
        <f t="shared" si="9"/>
        <v>8370</v>
      </c>
      <c r="N48" s="473">
        <f>M48/L48*100</f>
        <v>11.62806851808116</v>
      </c>
      <c r="O48" s="338"/>
    </row>
    <row r="49" spans="1:15" ht="12.75">
      <c r="A49" s="471" t="s">
        <v>214</v>
      </c>
      <c r="B49" s="472" t="s">
        <v>215</v>
      </c>
      <c r="C49" s="430"/>
      <c r="D49" s="429"/>
      <c r="E49" s="429"/>
      <c r="F49" s="432"/>
      <c r="G49" s="430">
        <v>4000</v>
      </c>
      <c r="H49" s="429">
        <v>35505</v>
      </c>
      <c r="I49" s="429">
        <v>209</v>
      </c>
      <c r="J49" s="473">
        <f>I49/H49*100</f>
        <v>0.588649485987889</v>
      </c>
      <c r="K49" s="428">
        <f t="shared" si="10"/>
        <v>4000</v>
      </c>
      <c r="L49" s="429">
        <f t="shared" si="10"/>
        <v>35505</v>
      </c>
      <c r="M49" s="429">
        <f t="shared" si="9"/>
        <v>209</v>
      </c>
      <c r="N49" s="473">
        <f>M49/L49*100</f>
        <v>0.588649485987889</v>
      </c>
      <c r="O49" s="338"/>
    </row>
    <row r="50" spans="1:15" ht="12.75">
      <c r="A50" s="474" t="s">
        <v>216</v>
      </c>
      <c r="B50" s="475" t="s">
        <v>217</v>
      </c>
      <c r="C50" s="436">
        <f>C42+C43+C44+C45+C46+C47+C48+C49</f>
        <v>0</v>
      </c>
      <c r="D50" s="387">
        <f>D42+D43+D44+D45+D46+D47+D48+D49</f>
        <v>0</v>
      </c>
      <c r="E50" s="436">
        <f>E42+E43+E44+E45+E46+E47+E48+E49</f>
        <v>0</v>
      </c>
      <c r="F50" s="476"/>
      <c r="G50" s="436">
        <f>G42+G43+G44+G45+G46+G47+G48+G49</f>
        <v>107310</v>
      </c>
      <c r="H50" s="387">
        <f>H42+H43+H44+H45+H46+H47+H48+H49</f>
        <v>243189</v>
      </c>
      <c r="I50" s="387">
        <f>I42+I43+I44+I45+I46+I47+I48+I49</f>
        <v>26923</v>
      </c>
      <c r="J50" s="477">
        <f>I50/H50*100</f>
        <v>11.070813235796027</v>
      </c>
      <c r="K50" s="434">
        <f t="shared" si="10"/>
        <v>107310</v>
      </c>
      <c r="L50" s="387">
        <f t="shared" si="10"/>
        <v>243189</v>
      </c>
      <c r="M50" s="387">
        <f t="shared" si="9"/>
        <v>26923</v>
      </c>
      <c r="N50" s="477">
        <f>M50/L50*100</f>
        <v>11.070813235796027</v>
      </c>
      <c r="O50" s="338"/>
    </row>
    <row r="51" spans="1:15" ht="12.75">
      <c r="A51" s="471" t="s">
        <v>218</v>
      </c>
      <c r="B51" s="472" t="s">
        <v>201</v>
      </c>
      <c r="C51" s="430"/>
      <c r="D51" s="429"/>
      <c r="E51" s="429"/>
      <c r="F51" s="431"/>
      <c r="G51" s="430"/>
      <c r="H51" s="429"/>
      <c r="I51" s="429"/>
      <c r="J51" s="473"/>
      <c r="K51" s="428"/>
      <c r="L51" s="429"/>
      <c r="M51" s="429"/>
      <c r="N51" s="473"/>
      <c r="O51" s="338"/>
    </row>
    <row r="52" spans="1:15" ht="12.75">
      <c r="A52" s="471" t="s">
        <v>219</v>
      </c>
      <c r="B52" s="472" t="s">
        <v>203</v>
      </c>
      <c r="C52" s="430"/>
      <c r="D52" s="429"/>
      <c r="E52" s="429"/>
      <c r="F52" s="431"/>
      <c r="G52" s="430"/>
      <c r="H52" s="429">
        <v>8300</v>
      </c>
      <c r="I52" s="372">
        <v>13681</v>
      </c>
      <c r="J52" s="473">
        <f>I52/H52*100</f>
        <v>164.8313253012048</v>
      </c>
      <c r="K52" s="428"/>
      <c r="L52" s="429">
        <f>D52+H52</f>
        <v>8300</v>
      </c>
      <c r="M52" s="429">
        <f>E52+I52</f>
        <v>13681</v>
      </c>
      <c r="N52" s="473">
        <f>M52/L52*100</f>
        <v>164.8313253012048</v>
      </c>
      <c r="O52" s="338"/>
    </row>
    <row r="53" spans="1:15" ht="12.75">
      <c r="A53" s="471" t="s">
        <v>220</v>
      </c>
      <c r="B53" s="472" t="s">
        <v>205</v>
      </c>
      <c r="C53" s="430"/>
      <c r="D53" s="429"/>
      <c r="E53" s="429"/>
      <c r="F53" s="431"/>
      <c r="G53" s="430"/>
      <c r="H53" s="429"/>
      <c r="I53" s="429"/>
      <c r="J53" s="473"/>
      <c r="K53" s="428"/>
      <c r="L53" s="429"/>
      <c r="M53" s="429"/>
      <c r="N53" s="473"/>
      <c r="O53" s="338"/>
    </row>
    <row r="54" spans="1:15" ht="12.75">
      <c r="A54" s="471" t="s">
        <v>221</v>
      </c>
      <c r="B54" s="472" t="s">
        <v>207</v>
      </c>
      <c r="C54" s="430"/>
      <c r="D54" s="429"/>
      <c r="E54" s="429"/>
      <c r="F54" s="431"/>
      <c r="G54" s="430"/>
      <c r="H54" s="429"/>
      <c r="I54" s="429"/>
      <c r="J54" s="473"/>
      <c r="K54" s="428"/>
      <c r="L54" s="429"/>
      <c r="M54" s="429"/>
      <c r="N54" s="473"/>
      <c r="O54" s="338"/>
    </row>
    <row r="55" spans="1:15" ht="12.75">
      <c r="A55" s="471" t="s">
        <v>222</v>
      </c>
      <c r="B55" s="472" t="s">
        <v>209</v>
      </c>
      <c r="C55" s="430"/>
      <c r="D55" s="429"/>
      <c r="E55" s="429"/>
      <c r="F55" s="431"/>
      <c r="G55" s="430"/>
      <c r="H55" s="429"/>
      <c r="I55" s="429">
        <v>5083</v>
      </c>
      <c r="J55" s="473"/>
      <c r="K55" s="428"/>
      <c r="L55" s="429"/>
      <c r="M55" s="429">
        <f>E55+I55</f>
        <v>5083</v>
      </c>
      <c r="N55" s="473"/>
      <c r="O55" s="338"/>
    </row>
    <row r="56" spans="1:15" ht="12.75">
      <c r="A56" s="471" t="s">
        <v>223</v>
      </c>
      <c r="B56" s="472" t="s">
        <v>211</v>
      </c>
      <c r="C56" s="430"/>
      <c r="D56" s="429"/>
      <c r="E56" s="429"/>
      <c r="F56" s="431"/>
      <c r="G56" s="430"/>
      <c r="H56" s="429"/>
      <c r="I56" s="429"/>
      <c r="J56" s="473"/>
      <c r="K56" s="428"/>
      <c r="L56" s="429"/>
      <c r="M56" s="429"/>
      <c r="N56" s="473"/>
      <c r="O56" s="338"/>
    </row>
    <row r="57" spans="1:15" ht="12.75">
      <c r="A57" s="471" t="s">
        <v>224</v>
      </c>
      <c r="B57" s="472" t="s">
        <v>213</v>
      </c>
      <c r="C57" s="430"/>
      <c r="D57" s="429"/>
      <c r="E57" s="429"/>
      <c r="F57" s="431"/>
      <c r="G57" s="430"/>
      <c r="H57" s="429"/>
      <c r="I57" s="372">
        <v>357</v>
      </c>
      <c r="J57" s="473"/>
      <c r="K57" s="428"/>
      <c r="L57" s="429"/>
      <c r="M57" s="429">
        <f>E57+I57</f>
        <v>357</v>
      </c>
      <c r="N57" s="473"/>
      <c r="O57" s="338"/>
    </row>
    <row r="58" spans="1:15" ht="12.75">
      <c r="A58" s="471" t="s">
        <v>225</v>
      </c>
      <c r="B58" s="472" t="s">
        <v>215</v>
      </c>
      <c r="C58" s="478"/>
      <c r="D58" s="479"/>
      <c r="E58" s="479"/>
      <c r="F58" s="480"/>
      <c r="G58" s="478"/>
      <c r="H58" s="479"/>
      <c r="I58" s="479"/>
      <c r="J58" s="481"/>
      <c r="K58" s="482"/>
      <c r="L58" s="479"/>
      <c r="M58" s="479"/>
      <c r="N58" s="481"/>
      <c r="O58" s="338"/>
    </row>
    <row r="59" spans="1:15" ht="13.5" thickBot="1">
      <c r="A59" s="483" t="s">
        <v>226</v>
      </c>
      <c r="B59" s="484" t="s">
        <v>217</v>
      </c>
      <c r="C59" s="485">
        <f>C51+C52+C53+C54+C55+C56+C57+C58</f>
        <v>0</v>
      </c>
      <c r="D59" s="486">
        <f>D51+D52+D53+D54+D55+D56+D57+D58</f>
        <v>0</v>
      </c>
      <c r="E59" s="486">
        <f>E51+E52+E53+E54+E55+E56+E57+E58</f>
        <v>0</v>
      </c>
      <c r="F59" s="487"/>
      <c r="G59" s="488">
        <f>SUM(G51:G58)</f>
        <v>0</v>
      </c>
      <c r="H59" s="486">
        <f>SUM(H51:H58)</f>
        <v>8300</v>
      </c>
      <c r="I59" s="486">
        <f>SUM(I51:I58)</f>
        <v>19121</v>
      </c>
      <c r="J59" s="489">
        <f aca="true" t="shared" si="11" ref="J59:J67">I59/H59*100</f>
        <v>230.37349397590364</v>
      </c>
      <c r="K59" s="485">
        <f>C59+G59</f>
        <v>0</v>
      </c>
      <c r="L59" s="486">
        <f>D59+H59</f>
        <v>8300</v>
      </c>
      <c r="M59" s="486">
        <f>E59+I59</f>
        <v>19121</v>
      </c>
      <c r="N59" s="489">
        <f aca="true" t="shared" si="12" ref="N59:N67">M59/L59*100</f>
        <v>230.37349397590364</v>
      </c>
      <c r="O59" s="338"/>
    </row>
    <row r="60" spans="1:15" ht="13.5" thickBot="1">
      <c r="A60" s="490" t="s">
        <v>227</v>
      </c>
      <c r="B60" s="440" t="s">
        <v>174</v>
      </c>
      <c r="C60" s="406">
        <f>C29+C50+C59</f>
        <v>0</v>
      </c>
      <c r="D60" s="403">
        <f>D29+D50+D59</f>
        <v>0</v>
      </c>
      <c r="E60" s="406">
        <f>E29+E50+E59</f>
        <v>0</v>
      </c>
      <c r="F60" s="404"/>
      <c r="G60" s="406">
        <f>G50+G59</f>
        <v>107310</v>
      </c>
      <c r="H60" s="403">
        <f>H50+H59</f>
        <v>251489</v>
      </c>
      <c r="I60" s="403">
        <f>I50+I59</f>
        <v>46044</v>
      </c>
      <c r="J60" s="491">
        <f t="shared" si="11"/>
        <v>18.30855425088175</v>
      </c>
      <c r="K60" s="402">
        <f>K50+K59</f>
        <v>107310</v>
      </c>
      <c r="L60" s="403">
        <f>L50+L59</f>
        <v>251489</v>
      </c>
      <c r="M60" s="403">
        <f>M50+M59</f>
        <v>46044</v>
      </c>
      <c r="N60" s="491">
        <f t="shared" si="12"/>
        <v>18.30855425088175</v>
      </c>
      <c r="O60" s="338"/>
    </row>
    <row r="61" spans="1:15" ht="13.5" thickBot="1">
      <c r="A61" s="490" t="s">
        <v>228</v>
      </c>
      <c r="B61" s="440" t="s">
        <v>174</v>
      </c>
      <c r="C61" s="402">
        <f>C9</f>
        <v>228746</v>
      </c>
      <c r="D61" s="403">
        <f>D9</f>
        <v>284463</v>
      </c>
      <c r="E61" s="403">
        <f>E9</f>
        <v>9996</v>
      </c>
      <c r="F61" s="454">
        <f>E61/D61*100</f>
        <v>3.5139895170900957</v>
      </c>
      <c r="G61" s="402">
        <f>G9</f>
        <v>113899</v>
      </c>
      <c r="H61" s="403">
        <f>H9</f>
        <v>115529</v>
      </c>
      <c r="I61" s="403">
        <f>I9</f>
        <v>2788</v>
      </c>
      <c r="J61" s="491">
        <f t="shared" si="11"/>
        <v>2.4132468903911573</v>
      </c>
      <c r="K61" s="402">
        <f>K9</f>
        <v>342645</v>
      </c>
      <c r="L61" s="403">
        <f>L9</f>
        <v>399992</v>
      </c>
      <c r="M61" s="403">
        <f>M9</f>
        <v>12784</v>
      </c>
      <c r="N61" s="491">
        <f t="shared" si="12"/>
        <v>3.1960639212784256</v>
      </c>
      <c r="O61" s="338"/>
    </row>
    <row r="62" spans="1:15" ht="13.5" thickBot="1">
      <c r="A62" s="426">
        <v>112120</v>
      </c>
      <c r="B62" s="438" t="s">
        <v>197</v>
      </c>
      <c r="C62" s="428"/>
      <c r="D62" s="429"/>
      <c r="E62" s="429"/>
      <c r="F62" s="431"/>
      <c r="G62" s="430">
        <v>55114</v>
      </c>
      <c r="H62" s="429"/>
      <c r="I62" s="429"/>
      <c r="J62" s="432"/>
      <c r="K62" s="428">
        <f>G62+C62</f>
        <v>55114</v>
      </c>
      <c r="L62" s="429"/>
      <c r="M62" s="429"/>
      <c r="N62" s="432"/>
      <c r="O62" s="338"/>
    </row>
    <row r="63" spans="1:15" ht="13.5" thickBot="1">
      <c r="A63" s="492" t="s">
        <v>229</v>
      </c>
      <c r="B63" s="493"/>
      <c r="C63" s="494">
        <f>SUM(C60:C62)</f>
        <v>228746</v>
      </c>
      <c r="D63" s="495">
        <f>SUM(D60:D62)</f>
        <v>284463</v>
      </c>
      <c r="E63" s="495">
        <f>SUM(E60:E62)</f>
        <v>9996</v>
      </c>
      <c r="F63" s="496">
        <f>E63/D63*100</f>
        <v>3.5139895170900957</v>
      </c>
      <c r="G63" s="494">
        <f>SUM(G60:G62)</f>
        <v>276323</v>
      </c>
      <c r="H63" s="495">
        <f>SUM(H60:H62)</f>
        <v>367018</v>
      </c>
      <c r="I63" s="495">
        <f>SUM(I60:I61)</f>
        <v>48832</v>
      </c>
      <c r="J63" s="497">
        <f t="shared" si="11"/>
        <v>13.305069506127765</v>
      </c>
      <c r="K63" s="494">
        <f>SUM(K60:K62)</f>
        <v>505069</v>
      </c>
      <c r="L63" s="495">
        <f>SUM(L60:L62)</f>
        <v>651481</v>
      </c>
      <c r="M63" s="495">
        <f>SUM(M60:M62)</f>
        <v>58828</v>
      </c>
      <c r="N63" s="497">
        <f t="shared" si="12"/>
        <v>9.029887287580145</v>
      </c>
      <c r="O63" s="411"/>
    </row>
    <row r="64" spans="1:15" ht="12.75">
      <c r="A64" s="498">
        <v>112110</v>
      </c>
      <c r="B64" s="498" t="s">
        <v>174</v>
      </c>
      <c r="C64" s="499">
        <f>C11</f>
        <v>533874</v>
      </c>
      <c r="D64" s="500">
        <f>D11</f>
        <v>542672</v>
      </c>
      <c r="E64" s="500">
        <f>E11</f>
        <v>9996</v>
      </c>
      <c r="F64" s="501">
        <f>E64/D64*100</f>
        <v>1.8419966388536724</v>
      </c>
      <c r="G64" s="499">
        <f>G11</f>
        <v>392956</v>
      </c>
      <c r="H64" s="500">
        <f>H11</f>
        <v>523420</v>
      </c>
      <c r="I64" s="500">
        <f>I11</f>
        <v>2788</v>
      </c>
      <c r="J64" s="501">
        <f t="shared" si="11"/>
        <v>0.532650643842421</v>
      </c>
      <c r="K64" s="499">
        <f>K11</f>
        <v>926830</v>
      </c>
      <c r="L64" s="500">
        <f>L11</f>
        <v>1066092</v>
      </c>
      <c r="M64" s="500">
        <f>M11</f>
        <v>12784</v>
      </c>
      <c r="N64" s="501">
        <f t="shared" si="12"/>
        <v>1.1991460399290117</v>
      </c>
      <c r="O64" s="338"/>
    </row>
    <row r="65" spans="1:15" ht="12.75">
      <c r="A65" s="502">
        <v>112120</v>
      </c>
      <c r="B65" s="502" t="s">
        <v>174</v>
      </c>
      <c r="C65" s="503">
        <f>C29+C50</f>
        <v>0</v>
      </c>
      <c r="D65" s="504">
        <f>D29+D50</f>
        <v>0</v>
      </c>
      <c r="E65" s="504">
        <f>E29+E50</f>
        <v>0</v>
      </c>
      <c r="F65" s="505"/>
      <c r="G65" s="503">
        <f>G29+G50</f>
        <v>162424</v>
      </c>
      <c r="H65" s="504">
        <f>H29+H50</f>
        <v>243189</v>
      </c>
      <c r="I65" s="504">
        <f>I29+I50</f>
        <v>26923</v>
      </c>
      <c r="J65" s="505">
        <f t="shared" si="11"/>
        <v>11.070813235796027</v>
      </c>
      <c r="K65" s="503">
        <f>K29+K50</f>
        <v>162424</v>
      </c>
      <c r="L65" s="504">
        <f>L29+L50</f>
        <v>243189</v>
      </c>
      <c r="M65" s="504">
        <f>M29+M50</f>
        <v>26923</v>
      </c>
      <c r="N65" s="505">
        <f t="shared" si="12"/>
        <v>11.070813235796027</v>
      </c>
      <c r="O65" s="338"/>
    </row>
    <row r="66" spans="1:15" ht="13.5" thickBot="1">
      <c r="A66" s="506" t="s">
        <v>226</v>
      </c>
      <c r="B66" s="506" t="s">
        <v>174</v>
      </c>
      <c r="C66" s="507">
        <f aca="true" t="shared" si="13" ref="C66:I66">+C59</f>
        <v>0</v>
      </c>
      <c r="D66" s="508">
        <f t="shared" si="13"/>
        <v>0</v>
      </c>
      <c r="E66" s="508">
        <f t="shared" si="13"/>
        <v>0</v>
      </c>
      <c r="F66" s="509">
        <f t="shared" si="13"/>
        <v>0</v>
      </c>
      <c r="G66" s="507">
        <f t="shared" si="13"/>
        <v>0</v>
      </c>
      <c r="H66" s="508">
        <f t="shared" si="13"/>
        <v>8300</v>
      </c>
      <c r="I66" s="508">
        <f t="shared" si="13"/>
        <v>19121</v>
      </c>
      <c r="J66" s="509">
        <f t="shared" si="11"/>
        <v>230.37349397590364</v>
      </c>
      <c r="K66" s="507">
        <f>+K59</f>
        <v>0</v>
      </c>
      <c r="L66" s="508">
        <f>+L59</f>
        <v>8300</v>
      </c>
      <c r="M66" s="508">
        <f>+M59</f>
        <v>19121</v>
      </c>
      <c r="N66" s="509">
        <f t="shared" si="12"/>
        <v>230.37349397590364</v>
      </c>
      <c r="O66" s="338"/>
    </row>
    <row r="67" spans="1:15" ht="13.5" thickBot="1">
      <c r="A67" s="510" t="s">
        <v>230</v>
      </c>
      <c r="B67" s="511"/>
      <c r="C67" s="512">
        <f>SUM(C64:C66)</f>
        <v>533874</v>
      </c>
      <c r="D67" s="508">
        <f>SUM(D64:D66)</f>
        <v>542672</v>
      </c>
      <c r="E67" s="508">
        <f>SUM(E64:E65)</f>
        <v>9996</v>
      </c>
      <c r="F67" s="513">
        <f>E67/D67*100</f>
        <v>1.8419966388536724</v>
      </c>
      <c r="G67" s="507">
        <f>SUM(G64:G66)</f>
        <v>555380</v>
      </c>
      <c r="H67" s="508">
        <f>SUM(H64:H66)</f>
        <v>774909</v>
      </c>
      <c r="I67" s="508">
        <f>SUM(I64:I66)</f>
        <v>48832</v>
      </c>
      <c r="J67" s="509">
        <f t="shared" si="11"/>
        <v>6.301643160680803</v>
      </c>
      <c r="K67" s="507">
        <f>SUM(K64:K66)</f>
        <v>1089254</v>
      </c>
      <c r="L67" s="508">
        <f>SUM(L64:L66)</f>
        <v>1317581</v>
      </c>
      <c r="M67" s="508">
        <f>SUM(M64:M66)</f>
        <v>58828</v>
      </c>
      <c r="N67" s="509">
        <f t="shared" si="12"/>
        <v>4.464848840412848</v>
      </c>
      <c r="O67" s="338"/>
    </row>
    <row r="68" spans="1:15" ht="13.5" thickBot="1">
      <c r="A68" s="514"/>
      <c r="B68" s="515"/>
      <c r="C68" s="409"/>
      <c r="D68" s="409"/>
      <c r="E68" s="409"/>
      <c r="F68" s="410"/>
      <c r="G68" s="409"/>
      <c r="H68" s="409"/>
      <c r="I68" s="409"/>
      <c r="J68" s="516"/>
      <c r="K68" s="517"/>
      <c r="L68" s="517"/>
      <c r="M68" s="517"/>
      <c r="N68" s="516"/>
      <c r="O68" s="338"/>
    </row>
    <row r="69" spans="1:15" ht="13.5" thickBot="1">
      <c r="A69" s="342" t="s">
        <v>170</v>
      </c>
      <c r="B69" s="412"/>
      <c r="C69" s="953" t="s">
        <v>172</v>
      </c>
      <c r="D69" s="967"/>
      <c r="E69" s="967"/>
      <c r="F69" s="968"/>
      <c r="G69" s="969" t="s">
        <v>173</v>
      </c>
      <c r="H69" s="970"/>
      <c r="I69" s="970"/>
      <c r="J69" s="971"/>
      <c r="K69" s="969" t="s">
        <v>174</v>
      </c>
      <c r="L69" s="970"/>
      <c r="M69" s="970"/>
      <c r="N69" s="971"/>
      <c r="O69" s="338"/>
    </row>
    <row r="70" spans="1:15" ht="12.75">
      <c r="A70" s="413" t="s">
        <v>175</v>
      </c>
      <c r="B70" s="343" t="s">
        <v>187</v>
      </c>
      <c r="C70" s="341" t="s">
        <v>177</v>
      </c>
      <c r="D70" s="346" t="s">
        <v>178</v>
      </c>
      <c r="E70" s="346" t="s">
        <v>179</v>
      </c>
      <c r="F70" s="347" t="s">
        <v>180</v>
      </c>
      <c r="G70" s="345" t="s">
        <v>177</v>
      </c>
      <c r="H70" s="346" t="s">
        <v>178</v>
      </c>
      <c r="I70" s="346" t="s">
        <v>179</v>
      </c>
      <c r="J70" s="347" t="s">
        <v>180</v>
      </c>
      <c r="K70" s="341" t="s">
        <v>177</v>
      </c>
      <c r="L70" s="346" t="s">
        <v>178</v>
      </c>
      <c r="M70" s="346" t="s">
        <v>179</v>
      </c>
      <c r="N70" s="347" t="s">
        <v>180</v>
      </c>
      <c r="O70" s="338"/>
    </row>
    <row r="71" spans="1:15" ht="13.5" thickBot="1">
      <c r="A71" s="413" t="s">
        <v>181</v>
      </c>
      <c r="B71" s="396"/>
      <c r="C71" s="415"/>
      <c r="D71" s="350" t="s">
        <v>103</v>
      </c>
      <c r="E71" s="350" t="s">
        <v>103</v>
      </c>
      <c r="F71" s="351" t="s">
        <v>183</v>
      </c>
      <c r="G71" s="464"/>
      <c r="H71" s="350" t="s">
        <v>103</v>
      </c>
      <c r="I71" s="350" t="s">
        <v>103</v>
      </c>
      <c r="J71" s="351" t="s">
        <v>183</v>
      </c>
      <c r="K71" s="415"/>
      <c r="L71" s="350" t="s">
        <v>103</v>
      </c>
      <c r="M71" s="350" t="s">
        <v>103</v>
      </c>
      <c r="N71" s="351" t="s">
        <v>183</v>
      </c>
      <c r="O71" s="338"/>
    </row>
    <row r="72" spans="1:15" ht="12.75">
      <c r="A72" s="518">
        <v>112212</v>
      </c>
      <c r="B72" s="519"/>
      <c r="C72" s="421"/>
      <c r="D72" s="420"/>
      <c r="E72" s="420"/>
      <c r="F72" s="520"/>
      <c r="G72" s="421">
        <v>64000</v>
      </c>
      <c r="H72" s="420">
        <v>61160</v>
      </c>
      <c r="I72" s="521"/>
      <c r="J72" s="423">
        <f>I72/H72*100</f>
        <v>0</v>
      </c>
      <c r="K72" s="419">
        <f aca="true" t="shared" si="14" ref="K72:M74">C72+G72</f>
        <v>64000</v>
      </c>
      <c r="L72" s="420">
        <f t="shared" si="14"/>
        <v>61160</v>
      </c>
      <c r="M72" s="420">
        <f t="shared" si="14"/>
        <v>0</v>
      </c>
      <c r="N72" s="423">
        <f>M72/L72*100</f>
        <v>0</v>
      </c>
      <c r="O72" s="338"/>
    </row>
    <row r="73" spans="1:15" ht="13.5" thickBot="1">
      <c r="A73" s="426">
        <v>112213</v>
      </c>
      <c r="B73" s="394"/>
      <c r="C73" s="428"/>
      <c r="D73" s="429"/>
      <c r="E73" s="429"/>
      <c r="F73" s="473"/>
      <c r="G73" s="430">
        <v>75000</v>
      </c>
      <c r="H73" s="429">
        <v>75000</v>
      </c>
      <c r="I73" s="522"/>
      <c r="J73" s="432">
        <f>I73/H73*100</f>
        <v>0</v>
      </c>
      <c r="K73" s="428">
        <f t="shared" si="14"/>
        <v>75000</v>
      </c>
      <c r="L73" s="429">
        <f t="shared" si="14"/>
        <v>75000</v>
      </c>
      <c r="M73" s="522">
        <f t="shared" si="14"/>
        <v>0</v>
      </c>
      <c r="N73" s="431">
        <f>M73/L73*100</f>
        <v>0</v>
      </c>
      <c r="O73" s="338"/>
    </row>
    <row r="74" spans="1:15" ht="13.5" thickBot="1">
      <c r="A74" s="439" t="s">
        <v>231</v>
      </c>
      <c r="B74" s="440"/>
      <c r="C74" s="406">
        <f>C72+C73</f>
        <v>0</v>
      </c>
      <c r="D74" s="403">
        <f>D72+D73</f>
        <v>0</v>
      </c>
      <c r="E74" s="406">
        <f>E72+E73</f>
        <v>0</v>
      </c>
      <c r="F74" s="407"/>
      <c r="G74" s="406">
        <f>G72+G73</f>
        <v>139000</v>
      </c>
      <c r="H74" s="403">
        <f>H72+H73</f>
        <v>136160</v>
      </c>
      <c r="I74" s="403">
        <f>I72+I73</f>
        <v>0</v>
      </c>
      <c r="J74" s="454">
        <f>I74/H74*100</f>
        <v>0</v>
      </c>
      <c r="K74" s="402">
        <f t="shared" si="14"/>
        <v>139000</v>
      </c>
      <c r="L74" s="403">
        <f t="shared" si="14"/>
        <v>136160</v>
      </c>
      <c r="M74" s="403">
        <f t="shared" si="14"/>
        <v>0</v>
      </c>
      <c r="N74" s="404">
        <f>M74/L74*100</f>
        <v>0</v>
      </c>
      <c r="O74" s="338"/>
    </row>
    <row r="75" spans="1:15" ht="13.5" thickBot="1">
      <c r="A75" s="952" t="s">
        <v>232</v>
      </c>
      <c r="B75" s="951"/>
      <c r="C75" s="406">
        <f>C12+C74</f>
        <v>215220</v>
      </c>
      <c r="D75" s="403">
        <f>D12+D74</f>
        <v>204480</v>
      </c>
      <c r="E75" s="406">
        <f>E12+E74</f>
        <v>0</v>
      </c>
      <c r="F75" s="407">
        <f>E75/D75*100</f>
        <v>0</v>
      </c>
      <c r="G75" s="406">
        <f>G12+G74</f>
        <v>314080</v>
      </c>
      <c r="H75" s="403">
        <f>H12+H74</f>
        <v>316663</v>
      </c>
      <c r="I75" s="403">
        <f>I12+I74</f>
        <v>0</v>
      </c>
      <c r="J75" s="454">
        <f>I75/H75*100</f>
        <v>0</v>
      </c>
      <c r="K75" s="402">
        <f>K12+K74</f>
        <v>529300</v>
      </c>
      <c r="L75" s="403">
        <f>L12+L74</f>
        <v>521143</v>
      </c>
      <c r="M75" s="403">
        <f>M12+M74</f>
        <v>0</v>
      </c>
      <c r="N75" s="404">
        <f>M75/L75*100</f>
        <v>0</v>
      </c>
      <c r="O75" s="338"/>
    </row>
    <row r="76" spans="1:15" ht="13.5" thickBot="1">
      <c r="A76" s="523" t="s">
        <v>233</v>
      </c>
      <c r="B76" s="524"/>
      <c r="C76" s="402">
        <f>C75</f>
        <v>215220</v>
      </c>
      <c r="D76" s="403">
        <f>D75</f>
        <v>204480</v>
      </c>
      <c r="E76" s="406">
        <f>E75</f>
        <v>0</v>
      </c>
      <c r="F76" s="407">
        <f>E76/D76*100</f>
        <v>0</v>
      </c>
      <c r="G76" s="406">
        <f>G75</f>
        <v>314080</v>
      </c>
      <c r="H76" s="403">
        <f>H75</f>
        <v>316663</v>
      </c>
      <c r="I76" s="403">
        <f>I75</f>
        <v>0</v>
      </c>
      <c r="J76" s="454">
        <f>I76/H76*100</f>
        <v>0</v>
      </c>
      <c r="K76" s="406">
        <f>K75</f>
        <v>529300</v>
      </c>
      <c r="L76" s="403">
        <f>L75</f>
        <v>521143</v>
      </c>
      <c r="M76" s="403">
        <f>M75</f>
        <v>0</v>
      </c>
      <c r="N76" s="404">
        <f>M76/L76*100</f>
        <v>0</v>
      </c>
      <c r="O76" s="338"/>
    </row>
    <row r="77" spans="1:15" ht="13.5" thickBot="1">
      <c r="A77" s="338"/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</row>
    <row r="78" spans="1:15" ht="13.5" thickBot="1">
      <c r="A78" s="342" t="s">
        <v>170</v>
      </c>
      <c r="B78" s="412"/>
      <c r="C78" s="953" t="s">
        <v>172</v>
      </c>
      <c r="D78" s="967"/>
      <c r="E78" s="967"/>
      <c r="F78" s="968"/>
      <c r="G78" s="969" t="s">
        <v>173</v>
      </c>
      <c r="H78" s="970"/>
      <c r="I78" s="970"/>
      <c r="J78" s="971"/>
      <c r="K78" s="969" t="s">
        <v>174</v>
      </c>
      <c r="L78" s="970"/>
      <c r="M78" s="970"/>
      <c r="N78" s="971"/>
      <c r="O78" s="338"/>
    </row>
    <row r="79" spans="1:15" ht="12.75">
      <c r="A79" s="413" t="s">
        <v>175</v>
      </c>
      <c r="B79" s="343" t="s">
        <v>188</v>
      </c>
      <c r="C79" s="341" t="s">
        <v>177</v>
      </c>
      <c r="D79" s="346" t="s">
        <v>178</v>
      </c>
      <c r="E79" s="346" t="s">
        <v>179</v>
      </c>
      <c r="F79" s="347" t="s">
        <v>180</v>
      </c>
      <c r="G79" s="345" t="s">
        <v>177</v>
      </c>
      <c r="H79" s="346" t="s">
        <v>178</v>
      </c>
      <c r="I79" s="346" t="s">
        <v>179</v>
      </c>
      <c r="J79" s="347" t="s">
        <v>180</v>
      </c>
      <c r="K79" s="341" t="s">
        <v>177</v>
      </c>
      <c r="L79" s="346" t="s">
        <v>178</v>
      </c>
      <c r="M79" s="346" t="s">
        <v>179</v>
      </c>
      <c r="N79" s="347" t="s">
        <v>180</v>
      </c>
      <c r="O79" s="338"/>
    </row>
    <row r="80" spans="1:15" ht="13.5" thickBot="1">
      <c r="A80" s="413" t="s">
        <v>181</v>
      </c>
      <c r="B80" s="396"/>
      <c r="C80" s="415"/>
      <c r="D80" s="350" t="s">
        <v>103</v>
      </c>
      <c r="E80" s="350" t="s">
        <v>103</v>
      </c>
      <c r="F80" s="352" t="s">
        <v>183</v>
      </c>
      <c r="G80" s="416"/>
      <c r="H80" s="350" t="s">
        <v>103</v>
      </c>
      <c r="I80" s="350" t="s">
        <v>103</v>
      </c>
      <c r="J80" s="352" t="s">
        <v>183</v>
      </c>
      <c r="K80" s="415"/>
      <c r="L80" s="350" t="s">
        <v>103</v>
      </c>
      <c r="M80" s="350" t="s">
        <v>103</v>
      </c>
      <c r="N80" s="351" t="s">
        <v>183</v>
      </c>
      <c r="O80" s="338"/>
    </row>
    <row r="81" spans="1:15" ht="12.75">
      <c r="A81" s="525">
        <v>112312</v>
      </c>
      <c r="B81" s="526"/>
      <c r="C81" s="421"/>
      <c r="D81" s="420"/>
      <c r="E81" s="420"/>
      <c r="F81" s="469"/>
      <c r="G81" s="421">
        <v>51700</v>
      </c>
      <c r="H81" s="420">
        <v>43100</v>
      </c>
      <c r="I81" s="420"/>
      <c r="J81" s="469">
        <f>I81/H81*100</f>
        <v>0</v>
      </c>
      <c r="K81" s="419">
        <f>C81+G81</f>
        <v>51700</v>
      </c>
      <c r="L81" s="420">
        <f>D81+H81</f>
        <v>43100</v>
      </c>
      <c r="M81" s="420">
        <f>E81+I81</f>
        <v>0</v>
      </c>
      <c r="N81" s="423">
        <f>M81/L81*100</f>
        <v>0</v>
      </c>
      <c r="O81" s="338"/>
    </row>
    <row r="82" spans="1:15" ht="13.5" thickBot="1">
      <c r="A82" s="426">
        <v>112313</v>
      </c>
      <c r="B82" s="394"/>
      <c r="C82" s="430"/>
      <c r="D82" s="429"/>
      <c r="E82" s="429"/>
      <c r="F82" s="432"/>
      <c r="G82" s="430">
        <v>20300</v>
      </c>
      <c r="H82" s="429">
        <v>50</v>
      </c>
      <c r="I82" s="429"/>
      <c r="J82" s="432"/>
      <c r="K82" s="428">
        <f aca="true" t="shared" si="15" ref="K82:L84">C82+G82</f>
        <v>20300</v>
      </c>
      <c r="L82" s="429">
        <f t="shared" si="15"/>
        <v>50</v>
      </c>
      <c r="M82" s="429"/>
      <c r="N82" s="432"/>
      <c r="O82" s="338"/>
    </row>
    <row r="83" spans="1:15" ht="13.5" thickBot="1">
      <c r="A83" s="439" t="s">
        <v>231</v>
      </c>
      <c r="B83" s="527"/>
      <c r="C83" s="402">
        <f>SUM(C81:C82)</f>
        <v>0</v>
      </c>
      <c r="D83" s="403">
        <f>SUM(D81:D82)</f>
        <v>0</v>
      </c>
      <c r="E83" s="403">
        <f>SUM(E81:E82)</f>
        <v>0</v>
      </c>
      <c r="F83" s="454"/>
      <c r="G83" s="406">
        <f>SUM(G81:G82)</f>
        <v>72000</v>
      </c>
      <c r="H83" s="403">
        <f>SUM(H81:H82)</f>
        <v>43150</v>
      </c>
      <c r="I83" s="403">
        <f>SUM(I81:I82)</f>
        <v>0</v>
      </c>
      <c r="J83" s="454">
        <f>I83/H83*100</f>
        <v>0</v>
      </c>
      <c r="K83" s="402">
        <f t="shared" si="15"/>
        <v>72000</v>
      </c>
      <c r="L83" s="403">
        <f t="shared" si="15"/>
        <v>43150</v>
      </c>
      <c r="M83" s="403">
        <f>E83+I83</f>
        <v>0</v>
      </c>
      <c r="N83" s="454">
        <f>M83/L83*100</f>
        <v>0</v>
      </c>
      <c r="O83" s="338"/>
    </row>
    <row r="84" spans="1:15" ht="13.5" thickBot="1">
      <c r="A84" s="952" t="s">
        <v>234</v>
      </c>
      <c r="B84" s="976"/>
      <c r="C84" s="402">
        <f>C13+C83</f>
        <v>300025</v>
      </c>
      <c r="D84" s="403">
        <f>D13+D83</f>
        <v>273225</v>
      </c>
      <c r="E84" s="403">
        <f>E13+E83</f>
        <v>0</v>
      </c>
      <c r="F84" s="454">
        <f>E84/D84*100</f>
        <v>0</v>
      </c>
      <c r="G84" s="402">
        <f>G13+G83</f>
        <v>101932</v>
      </c>
      <c r="H84" s="403">
        <f>H13+H83</f>
        <v>125232</v>
      </c>
      <c r="I84" s="403">
        <f>I13+I83</f>
        <v>0</v>
      </c>
      <c r="J84" s="454">
        <f>I84/H84*100</f>
        <v>0</v>
      </c>
      <c r="K84" s="402">
        <f t="shared" si="15"/>
        <v>401957</v>
      </c>
      <c r="L84" s="403">
        <f t="shared" si="15"/>
        <v>398457</v>
      </c>
      <c r="M84" s="403">
        <f>E84+I84</f>
        <v>0</v>
      </c>
      <c r="N84" s="454">
        <f>M84/L84*100</f>
        <v>0</v>
      </c>
      <c r="O84" s="338"/>
    </row>
    <row r="85" spans="1:15" ht="13.5" thickBot="1">
      <c r="A85" s="528" t="s">
        <v>235</v>
      </c>
      <c r="B85" s="529"/>
      <c r="C85" s="402">
        <f>C84</f>
        <v>300025</v>
      </c>
      <c r="D85" s="403">
        <f>D84</f>
        <v>273225</v>
      </c>
      <c r="E85" s="403">
        <f>E84</f>
        <v>0</v>
      </c>
      <c r="F85" s="454">
        <f>E85/D85*100</f>
        <v>0</v>
      </c>
      <c r="G85" s="406">
        <f>G84</f>
        <v>101932</v>
      </c>
      <c r="H85" s="403">
        <f>H84</f>
        <v>125232</v>
      </c>
      <c r="I85" s="403">
        <f>I84</f>
        <v>0</v>
      </c>
      <c r="J85" s="454">
        <f>I85/H85*100</f>
        <v>0</v>
      </c>
      <c r="K85" s="453">
        <f>SUM(K84:K84)</f>
        <v>401957</v>
      </c>
      <c r="L85" s="403">
        <f>SUM(L84:L84)</f>
        <v>398457</v>
      </c>
      <c r="M85" s="403">
        <f>SUM(M84:M84)</f>
        <v>0</v>
      </c>
      <c r="N85" s="454">
        <f>M85/L85*100</f>
        <v>0</v>
      </c>
      <c r="O85" s="338"/>
    </row>
    <row r="86" spans="1:15" ht="13.5" thickBot="1">
      <c r="A86" s="338"/>
      <c r="B86" s="338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338"/>
    </row>
    <row r="87" spans="1:15" ht="13.5" thickBot="1">
      <c r="A87" s="412"/>
      <c r="B87" s="530"/>
      <c r="C87" s="967" t="s">
        <v>172</v>
      </c>
      <c r="D87" s="967"/>
      <c r="E87" s="967"/>
      <c r="F87" s="968"/>
      <c r="G87" s="969" t="s">
        <v>173</v>
      </c>
      <c r="H87" s="970"/>
      <c r="I87" s="970"/>
      <c r="J87" s="971"/>
      <c r="K87" s="969" t="s">
        <v>174</v>
      </c>
      <c r="L87" s="970"/>
      <c r="M87" s="970"/>
      <c r="N87" s="971"/>
      <c r="O87" s="338"/>
    </row>
    <row r="88" spans="1:15" ht="12.75">
      <c r="A88" s="531" t="s">
        <v>236</v>
      </c>
      <c r="B88" s="532"/>
      <c r="C88" s="341" t="s">
        <v>177</v>
      </c>
      <c r="D88" s="346" t="s">
        <v>178</v>
      </c>
      <c r="E88" s="346" t="s">
        <v>179</v>
      </c>
      <c r="F88" s="347" t="s">
        <v>180</v>
      </c>
      <c r="G88" s="533" t="s">
        <v>177</v>
      </c>
      <c r="H88" s="346" t="s">
        <v>178</v>
      </c>
      <c r="I88" s="346" t="s">
        <v>179</v>
      </c>
      <c r="J88" s="347" t="s">
        <v>180</v>
      </c>
      <c r="K88" s="533" t="s">
        <v>177</v>
      </c>
      <c r="L88" s="346" t="s">
        <v>178</v>
      </c>
      <c r="M88" s="346" t="s">
        <v>179</v>
      </c>
      <c r="N88" s="347" t="s">
        <v>180</v>
      </c>
      <c r="O88" s="338"/>
    </row>
    <row r="89" spans="1:15" ht="13.5" thickBot="1">
      <c r="A89" s="534"/>
      <c r="B89" s="535"/>
      <c r="C89" s="415"/>
      <c r="D89" s="350" t="s">
        <v>103</v>
      </c>
      <c r="E89" s="350" t="s">
        <v>103</v>
      </c>
      <c r="F89" s="351" t="s">
        <v>183</v>
      </c>
      <c r="G89" s="536"/>
      <c r="H89" s="350" t="s">
        <v>103</v>
      </c>
      <c r="I89" s="350" t="s">
        <v>103</v>
      </c>
      <c r="J89" s="351" t="s">
        <v>183</v>
      </c>
      <c r="K89" s="536"/>
      <c r="L89" s="350" t="s">
        <v>103</v>
      </c>
      <c r="M89" s="350" t="s">
        <v>103</v>
      </c>
      <c r="N89" s="351" t="s">
        <v>183</v>
      </c>
      <c r="O89" s="338"/>
    </row>
    <row r="90" spans="1:15" ht="12.75">
      <c r="A90" s="537" t="s">
        <v>237</v>
      </c>
      <c r="B90" s="538"/>
      <c r="C90" s="539">
        <f>C15</f>
        <v>2330368</v>
      </c>
      <c r="D90" s="540">
        <f>D15</f>
        <v>1485643</v>
      </c>
      <c r="E90" s="540">
        <f>E15</f>
        <v>9996</v>
      </c>
      <c r="F90" s="541">
        <f>E90/D90*100</f>
        <v>0.672839975687295</v>
      </c>
      <c r="G90" s="539">
        <f>G15</f>
        <v>888016</v>
      </c>
      <c r="H90" s="540">
        <f>H15</f>
        <v>2001885</v>
      </c>
      <c r="I90" s="540">
        <f>I15</f>
        <v>2788</v>
      </c>
      <c r="J90" s="541">
        <f>I90/H90*100</f>
        <v>0.13926873921329147</v>
      </c>
      <c r="K90" s="539">
        <f>K15</f>
        <v>3218384</v>
      </c>
      <c r="L90" s="540">
        <f>L15</f>
        <v>3487528</v>
      </c>
      <c r="M90" s="542">
        <f>M15</f>
        <v>12784</v>
      </c>
      <c r="N90" s="541">
        <f>M90/L90*100</f>
        <v>0.3665633652260283</v>
      </c>
      <c r="O90" s="338"/>
    </row>
    <row r="91" spans="1:15" ht="13.5" thickBot="1">
      <c r="A91" s="543" t="s">
        <v>238</v>
      </c>
      <c r="B91" s="544"/>
      <c r="C91" s="545">
        <f>C30+C60+C74+C83</f>
        <v>0</v>
      </c>
      <c r="D91" s="546">
        <f>D30+D60+D74+D83</f>
        <v>0</v>
      </c>
      <c r="E91" s="546">
        <f>E30+E60+E74+E83</f>
        <v>0</v>
      </c>
      <c r="F91" s="547"/>
      <c r="G91" s="545">
        <f>G30+G60+G74+G83</f>
        <v>508454</v>
      </c>
      <c r="H91" s="546">
        <f>H30+H60+H74+H83</f>
        <v>567364</v>
      </c>
      <c r="I91" s="546">
        <f>I30+I60+I74+I83</f>
        <v>46044</v>
      </c>
      <c r="J91" s="547">
        <f>I91/H91*100</f>
        <v>8.11542501815413</v>
      </c>
      <c r="K91" s="545">
        <f>C91+G91</f>
        <v>508454</v>
      </c>
      <c r="L91" s="546">
        <f>D91+H91</f>
        <v>567364</v>
      </c>
      <c r="M91" s="548">
        <f>E91+I91</f>
        <v>46044</v>
      </c>
      <c r="N91" s="547">
        <f>M91/L91*100</f>
        <v>8.11542501815413</v>
      </c>
      <c r="O91" s="338"/>
    </row>
    <row r="92" spans="1:15" ht="13.5" thickBot="1">
      <c r="A92" s="549" t="s">
        <v>239</v>
      </c>
      <c r="B92" s="550"/>
      <c r="C92" s="551">
        <f>SUM(C90:C91)</f>
        <v>2330368</v>
      </c>
      <c r="D92" s="442">
        <f>SUM(D90:D91)</f>
        <v>1485643</v>
      </c>
      <c r="E92" s="442">
        <f>SUM(E90:E91)</f>
        <v>9996</v>
      </c>
      <c r="F92" s="552">
        <f>E92/D92*100</f>
        <v>0.672839975687295</v>
      </c>
      <c r="G92" s="551">
        <f>SUM(G90:G91)</f>
        <v>1396470</v>
      </c>
      <c r="H92" s="442">
        <f>SUM(H90:H91)</f>
        <v>2569249</v>
      </c>
      <c r="I92" s="442">
        <f>SUM(I90:I91)</f>
        <v>48832</v>
      </c>
      <c r="J92" s="552">
        <f>I92/H92*100</f>
        <v>1.9006332200576899</v>
      </c>
      <c r="K92" s="551">
        <f>SUM(K90:K91)</f>
        <v>3726838</v>
      </c>
      <c r="L92" s="442">
        <f>SUM(L90:L91)</f>
        <v>4054892</v>
      </c>
      <c r="M92" s="553">
        <f>SUM(M90:M91)</f>
        <v>58828</v>
      </c>
      <c r="N92" s="552">
        <f>M92/L92*100</f>
        <v>1.4507907978806835</v>
      </c>
      <c r="O92" s="338"/>
    </row>
    <row r="93" spans="1:15" ht="12.75">
      <c r="A93" s="554">
        <v>40190</v>
      </c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</row>
    <row r="94" spans="1:15" ht="12.75">
      <c r="A94" s="555"/>
      <c r="B94" s="554"/>
      <c r="C94" s="411"/>
      <c r="D94" s="338"/>
      <c r="E94" s="338"/>
      <c r="F94" s="338"/>
      <c r="G94" s="338"/>
      <c r="H94" s="338"/>
      <c r="I94" s="338"/>
      <c r="J94" s="338"/>
      <c r="L94" s="411"/>
      <c r="M94" s="338"/>
      <c r="N94" s="338"/>
      <c r="O94" s="338"/>
    </row>
    <row r="95" spans="1:15" ht="12.75">
      <c r="A95" s="554"/>
      <c r="B95" s="338"/>
      <c r="C95" s="338"/>
      <c r="D95" s="338"/>
      <c r="E95" s="338"/>
      <c r="F95" s="338"/>
      <c r="G95" s="338"/>
      <c r="H95" s="338"/>
      <c r="I95" s="338"/>
      <c r="J95" s="338"/>
      <c r="K95" s="411"/>
      <c r="L95" s="411"/>
      <c r="M95" s="338"/>
      <c r="N95" s="338"/>
      <c r="O95" s="338"/>
    </row>
    <row r="96" ht="12.75">
      <c r="L96" s="556"/>
    </row>
    <row r="97" ht="12.75">
      <c r="K97" s="557"/>
    </row>
    <row r="99" spans="11:12" ht="12.75">
      <c r="K99" s="557"/>
      <c r="L99" s="557"/>
    </row>
    <row r="100" spans="11:12" ht="12.75">
      <c r="K100" s="557"/>
      <c r="L100" s="557"/>
    </row>
    <row r="101" ht="12.75">
      <c r="K101" s="557"/>
    </row>
    <row r="102" ht="12.75">
      <c r="K102" s="557"/>
    </row>
    <row r="104" ht="12.75">
      <c r="I104" s="557"/>
    </row>
    <row r="106" spans="11:12" ht="12.75">
      <c r="K106" s="411"/>
      <c r="L106" s="557"/>
    </row>
    <row r="107" ht="12.75">
      <c r="K107" s="557"/>
    </row>
    <row r="108" spans="11:12" ht="12.75">
      <c r="K108" s="557"/>
      <c r="L108" s="557"/>
    </row>
    <row r="109" ht="12.75">
      <c r="K109" s="557"/>
    </row>
  </sheetData>
  <mergeCells count="25">
    <mergeCell ref="A84:B84"/>
    <mergeCell ref="C87:F87"/>
    <mergeCell ref="G87:J87"/>
    <mergeCell ref="K87:N87"/>
    <mergeCell ref="A75:B75"/>
    <mergeCell ref="C78:F78"/>
    <mergeCell ref="G78:J78"/>
    <mergeCell ref="K78:N78"/>
    <mergeCell ref="K39:N39"/>
    <mergeCell ref="C69:F69"/>
    <mergeCell ref="G69:J69"/>
    <mergeCell ref="K69:N69"/>
    <mergeCell ref="A34:B34"/>
    <mergeCell ref="A37:B37"/>
    <mergeCell ref="C39:F39"/>
    <mergeCell ref="G39:J39"/>
    <mergeCell ref="A15:B15"/>
    <mergeCell ref="A17:N17"/>
    <mergeCell ref="C19:F19"/>
    <mergeCell ref="G19:J19"/>
    <mergeCell ref="K19:N19"/>
    <mergeCell ref="A1:N1"/>
    <mergeCell ref="C3:F3"/>
    <mergeCell ref="G3:J3"/>
    <mergeCell ref="K3:N3"/>
  </mergeCells>
  <printOptions/>
  <pageMargins left="0.1968503937007874" right="0.31496062992125984" top="1.1811023622047245" bottom="0.984251968503937" header="0.5118110236220472" footer="0.5118110236220472"/>
  <pageSetup fitToHeight="2" horizontalDpi="600" verticalDpi="600" orientation="portrait" paperSize="9" scale="74" r:id="rId3"/>
  <headerFooter alignWithMargins="0">
    <oddHeader>&amp;RPříloha č. 4 k č.j. 48/16 511/2010-482</oddHeader>
  </headerFooter>
  <rowBreaks count="1" manualBreakCount="1">
    <brk id="68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98"/>
  <sheetViews>
    <sheetView zoomScale="75" zoomScaleNormal="75" workbookViewId="0" topLeftCell="V1">
      <selection activeCell="AL25" sqref="AL25"/>
    </sheetView>
  </sheetViews>
  <sheetFormatPr defaultColWidth="9.125" defaultRowHeight="12.75"/>
  <cols>
    <col min="1" max="1" width="35.625" style="80" bestFit="1" customWidth="1"/>
    <col min="2" max="2" width="14.625" style="80" customWidth="1"/>
    <col min="3" max="3" width="14.875" style="80" customWidth="1"/>
    <col min="4" max="4" width="14.375" style="80" bestFit="1" customWidth="1"/>
    <col min="5" max="5" width="7.75390625" style="80" customWidth="1"/>
    <col min="6" max="6" width="8.625" style="80" customWidth="1"/>
    <col min="7" max="7" width="14.625" style="80" customWidth="1"/>
    <col min="8" max="8" width="14.875" style="80" customWidth="1"/>
    <col min="9" max="9" width="14.375" style="80" bestFit="1" customWidth="1"/>
    <col min="10" max="10" width="8.75390625" style="80" customWidth="1"/>
    <col min="11" max="11" width="8.125" style="80" customWidth="1"/>
    <col min="12" max="12" width="14.875" style="80" customWidth="1"/>
    <col min="13" max="13" width="11.25390625" style="80" customWidth="1"/>
    <col min="14" max="14" width="8.75390625" style="80" customWidth="1"/>
    <col min="15" max="15" width="14.875" style="80" customWidth="1"/>
    <col min="16" max="16" width="10.625" style="80" customWidth="1"/>
    <col min="17" max="17" width="8.75390625" style="80" customWidth="1"/>
    <col min="18" max="18" width="14.625" style="80" customWidth="1"/>
    <col min="19" max="19" width="14.875" style="80" customWidth="1"/>
    <col min="20" max="20" width="13.25390625" style="80" bestFit="1" customWidth="1"/>
    <col min="21" max="21" width="8.625" style="80" customWidth="1"/>
    <col min="22" max="22" width="8.125" style="80" customWidth="1"/>
    <col min="23" max="23" width="14.875" style="80" customWidth="1"/>
    <col min="24" max="24" width="10.625" style="80" customWidth="1"/>
    <col min="25" max="25" width="8.75390625" style="80" customWidth="1"/>
    <col min="26" max="26" width="14.875" style="80" customWidth="1"/>
    <col min="27" max="27" width="10.625" style="80" customWidth="1"/>
    <col min="28" max="28" width="8.625" style="80" customWidth="1"/>
    <col min="29" max="29" width="12.00390625" style="80" customWidth="1"/>
    <col min="30" max="30" width="14.875" style="80" customWidth="1"/>
    <col min="31" max="31" width="10.625" style="80" bestFit="1" customWidth="1"/>
    <col min="32" max="32" width="8.75390625" style="80" customWidth="1"/>
    <col min="33" max="33" width="14.875" style="80" customWidth="1"/>
    <col min="34" max="34" width="10.625" style="80" customWidth="1"/>
    <col min="35" max="35" width="8.625" style="80" customWidth="1"/>
    <col min="36" max="36" width="9.25390625" style="80" customWidth="1"/>
    <col min="37" max="37" width="9.25390625" style="80" bestFit="1" customWidth="1"/>
    <col min="38" max="16384" width="9.125" style="80" customWidth="1"/>
  </cols>
  <sheetData>
    <row r="1" spans="1:36" s="78" customFormat="1" ht="15.75">
      <c r="A1" s="78" t="s">
        <v>65</v>
      </c>
      <c r="V1" s="79"/>
      <c r="AJ1" s="79" t="s">
        <v>66</v>
      </c>
    </row>
    <row r="3" spans="1:37" ht="20.25">
      <c r="A3" s="81"/>
      <c r="B3" s="983" t="s">
        <v>67</v>
      </c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3"/>
    </row>
    <row r="4" spans="2:37" ht="13.5" thickBo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</row>
    <row r="5" spans="1:36" s="93" customFormat="1" ht="57.75" customHeight="1" thickBot="1" thickTop="1">
      <c r="A5" s="85"/>
      <c r="B5" s="86" t="s">
        <v>68</v>
      </c>
      <c r="C5" s="87"/>
      <c r="D5" s="87"/>
      <c r="E5" s="87"/>
      <c r="F5" s="88"/>
      <c r="G5" s="86" t="s">
        <v>69</v>
      </c>
      <c r="H5" s="87"/>
      <c r="I5" s="87"/>
      <c r="J5" s="87"/>
      <c r="K5" s="88"/>
      <c r="L5" s="977" t="s">
        <v>70</v>
      </c>
      <c r="M5" s="978"/>
      <c r="N5" s="979"/>
      <c r="O5" s="977" t="s">
        <v>71</v>
      </c>
      <c r="P5" s="978"/>
      <c r="Q5" s="979"/>
      <c r="R5" s="86" t="s">
        <v>72</v>
      </c>
      <c r="S5" s="87"/>
      <c r="T5" s="87"/>
      <c r="U5" s="87"/>
      <c r="V5" s="88"/>
      <c r="W5" s="977" t="s">
        <v>73</v>
      </c>
      <c r="X5" s="978"/>
      <c r="Y5" s="979"/>
      <c r="Z5" s="977" t="s">
        <v>74</v>
      </c>
      <c r="AA5" s="978"/>
      <c r="AB5" s="979"/>
      <c r="AC5" s="89" t="s">
        <v>75</v>
      </c>
      <c r="AD5" s="90" t="s">
        <v>76</v>
      </c>
      <c r="AE5" s="91"/>
      <c r="AF5" s="91"/>
      <c r="AG5" s="980" t="s">
        <v>77</v>
      </c>
      <c r="AH5" s="981"/>
      <c r="AI5" s="982"/>
      <c r="AJ5" s="92"/>
    </row>
    <row r="6" spans="1:36" ht="12.75">
      <c r="A6" s="94"/>
      <c r="B6" s="95" t="s">
        <v>78</v>
      </c>
      <c r="C6" s="96" t="s">
        <v>79</v>
      </c>
      <c r="D6" s="97"/>
      <c r="E6" s="98"/>
      <c r="F6" s="99"/>
      <c r="G6" s="95" t="s">
        <v>78</v>
      </c>
      <c r="H6" s="96" t="s">
        <v>79</v>
      </c>
      <c r="I6" s="97"/>
      <c r="J6" s="98"/>
      <c r="K6" s="100"/>
      <c r="L6" s="101"/>
      <c r="M6" s="102"/>
      <c r="N6" s="103"/>
      <c r="O6" s="101"/>
      <c r="P6" s="102"/>
      <c r="Q6" s="103"/>
      <c r="R6" s="95" t="s">
        <v>78</v>
      </c>
      <c r="S6" s="96" t="s">
        <v>79</v>
      </c>
      <c r="T6" s="97"/>
      <c r="U6" s="98"/>
      <c r="V6" s="99"/>
      <c r="W6" s="101"/>
      <c r="X6" s="102"/>
      <c r="Y6" s="103"/>
      <c r="Z6" s="101"/>
      <c r="AA6" s="102"/>
      <c r="AB6" s="103"/>
      <c r="AC6" s="104" t="s">
        <v>80</v>
      </c>
      <c r="AD6" s="102"/>
      <c r="AE6" s="102"/>
      <c r="AF6" s="105"/>
      <c r="AG6" s="101"/>
      <c r="AH6" s="102"/>
      <c r="AI6" s="103"/>
      <c r="AJ6" s="106" t="s">
        <v>81</v>
      </c>
    </row>
    <row r="7" spans="1:36" ht="12.75">
      <c r="A7" s="94"/>
      <c r="B7" s="95" t="s">
        <v>82</v>
      </c>
      <c r="C7" s="107" t="s">
        <v>83</v>
      </c>
      <c r="D7" s="107" t="s">
        <v>78</v>
      </c>
      <c r="E7" s="107" t="s">
        <v>84</v>
      </c>
      <c r="F7" s="99" t="s">
        <v>85</v>
      </c>
      <c r="G7" s="95" t="s">
        <v>82</v>
      </c>
      <c r="H7" s="107" t="s">
        <v>83</v>
      </c>
      <c r="I7" s="107" t="s">
        <v>78</v>
      </c>
      <c r="J7" s="107" t="s">
        <v>84</v>
      </c>
      <c r="K7" s="99" t="s">
        <v>85</v>
      </c>
      <c r="L7" s="95" t="s">
        <v>83</v>
      </c>
      <c r="M7" s="108" t="s">
        <v>78</v>
      </c>
      <c r="N7" s="109" t="s">
        <v>84</v>
      </c>
      <c r="O7" s="95" t="s">
        <v>83</v>
      </c>
      <c r="P7" s="108" t="s">
        <v>78</v>
      </c>
      <c r="Q7" s="109" t="s">
        <v>84</v>
      </c>
      <c r="R7" s="95" t="s">
        <v>82</v>
      </c>
      <c r="S7" s="107" t="s">
        <v>83</v>
      </c>
      <c r="T7" s="107" t="s">
        <v>78</v>
      </c>
      <c r="U7" s="107" t="s">
        <v>85</v>
      </c>
      <c r="V7" s="99" t="s">
        <v>85</v>
      </c>
      <c r="W7" s="95" t="s">
        <v>83</v>
      </c>
      <c r="X7" s="108" t="s">
        <v>78</v>
      </c>
      <c r="Y7" s="99" t="s">
        <v>85</v>
      </c>
      <c r="Z7" s="95" t="s">
        <v>83</v>
      </c>
      <c r="AA7" s="108" t="s">
        <v>78</v>
      </c>
      <c r="AB7" s="99" t="s">
        <v>85</v>
      </c>
      <c r="AC7" s="104" t="s">
        <v>86</v>
      </c>
      <c r="AD7" s="108" t="s">
        <v>83</v>
      </c>
      <c r="AE7" s="108" t="s">
        <v>78</v>
      </c>
      <c r="AF7" s="110" t="s">
        <v>85</v>
      </c>
      <c r="AG7" s="95" t="s">
        <v>83</v>
      </c>
      <c r="AH7" s="108" t="s">
        <v>78</v>
      </c>
      <c r="AI7" s="109" t="s">
        <v>85</v>
      </c>
      <c r="AJ7" s="106" t="s">
        <v>87</v>
      </c>
    </row>
    <row r="8" spans="1:36" ht="12.75">
      <c r="A8" s="94"/>
      <c r="B8" s="95" t="s">
        <v>88</v>
      </c>
      <c r="C8" s="107" t="s">
        <v>89</v>
      </c>
      <c r="D8" s="107" t="s">
        <v>90</v>
      </c>
      <c r="E8" s="107" t="s">
        <v>91</v>
      </c>
      <c r="F8" s="99" t="s">
        <v>92</v>
      </c>
      <c r="G8" s="95" t="s">
        <v>88</v>
      </c>
      <c r="H8" s="107" t="s">
        <v>89</v>
      </c>
      <c r="I8" s="107" t="s">
        <v>90</v>
      </c>
      <c r="J8" s="107" t="s">
        <v>93</v>
      </c>
      <c r="K8" s="99" t="s">
        <v>92</v>
      </c>
      <c r="L8" s="95" t="s">
        <v>89</v>
      </c>
      <c r="M8" s="108" t="s">
        <v>90</v>
      </c>
      <c r="N8" s="109" t="s">
        <v>93</v>
      </c>
      <c r="O8" s="95" t="s">
        <v>89</v>
      </c>
      <c r="P8" s="108" t="s">
        <v>90</v>
      </c>
      <c r="Q8" s="109" t="s">
        <v>93</v>
      </c>
      <c r="R8" s="95" t="s">
        <v>88</v>
      </c>
      <c r="S8" s="107" t="s">
        <v>89</v>
      </c>
      <c r="T8" s="107" t="s">
        <v>90</v>
      </c>
      <c r="U8" s="107" t="s">
        <v>94</v>
      </c>
      <c r="V8" s="99" t="s">
        <v>92</v>
      </c>
      <c r="W8" s="95" t="s">
        <v>89</v>
      </c>
      <c r="X8" s="108" t="s">
        <v>90</v>
      </c>
      <c r="Y8" s="99" t="s">
        <v>94</v>
      </c>
      <c r="Z8" s="95" t="s">
        <v>89</v>
      </c>
      <c r="AA8" s="108" t="s">
        <v>90</v>
      </c>
      <c r="AB8" s="99" t="s">
        <v>94</v>
      </c>
      <c r="AC8" s="104" t="s">
        <v>95</v>
      </c>
      <c r="AD8" s="108" t="s">
        <v>89</v>
      </c>
      <c r="AE8" s="108" t="s">
        <v>90</v>
      </c>
      <c r="AF8" s="110" t="s">
        <v>94</v>
      </c>
      <c r="AG8" s="95" t="s">
        <v>89</v>
      </c>
      <c r="AH8" s="108" t="s">
        <v>90</v>
      </c>
      <c r="AI8" s="109" t="s">
        <v>94</v>
      </c>
      <c r="AJ8" s="106" t="s">
        <v>96</v>
      </c>
    </row>
    <row r="9" spans="1:36" ht="12.75">
      <c r="A9" s="94"/>
      <c r="B9" s="95" t="s">
        <v>97</v>
      </c>
      <c r="C9" s="107" t="s">
        <v>98</v>
      </c>
      <c r="D9" s="107"/>
      <c r="E9" s="107" t="s">
        <v>99</v>
      </c>
      <c r="F9" s="99"/>
      <c r="G9" s="95" t="s">
        <v>97</v>
      </c>
      <c r="H9" s="107" t="s">
        <v>98</v>
      </c>
      <c r="I9" s="107"/>
      <c r="J9" s="107" t="s">
        <v>100</v>
      </c>
      <c r="K9" s="99"/>
      <c r="L9" s="95" t="s">
        <v>98</v>
      </c>
      <c r="M9" s="108"/>
      <c r="N9" s="109" t="s">
        <v>100</v>
      </c>
      <c r="O9" s="95" t="s">
        <v>98</v>
      </c>
      <c r="P9" s="108"/>
      <c r="Q9" s="109" t="s">
        <v>100</v>
      </c>
      <c r="R9" s="95" t="s">
        <v>97</v>
      </c>
      <c r="S9" s="107" t="s">
        <v>98</v>
      </c>
      <c r="T9" s="107"/>
      <c r="U9" s="107" t="s">
        <v>101</v>
      </c>
      <c r="V9" s="99"/>
      <c r="W9" s="95" t="s">
        <v>98</v>
      </c>
      <c r="X9" s="108"/>
      <c r="Y9" s="99" t="s">
        <v>101</v>
      </c>
      <c r="Z9" s="95" t="s">
        <v>98</v>
      </c>
      <c r="AA9" s="108"/>
      <c r="AB9" s="99" t="s">
        <v>101</v>
      </c>
      <c r="AC9" s="104" t="s">
        <v>102</v>
      </c>
      <c r="AD9" s="108" t="s">
        <v>98</v>
      </c>
      <c r="AE9" s="108"/>
      <c r="AF9" s="110" t="s">
        <v>101</v>
      </c>
      <c r="AG9" s="95" t="s">
        <v>98</v>
      </c>
      <c r="AH9" s="108"/>
      <c r="AI9" s="109" t="s">
        <v>101</v>
      </c>
      <c r="AJ9" s="106" t="s">
        <v>103</v>
      </c>
    </row>
    <row r="10" spans="1:36" ht="13.5" thickBot="1">
      <c r="A10" s="111"/>
      <c r="B10" s="112" t="s">
        <v>104</v>
      </c>
      <c r="C10" s="113" t="s">
        <v>105</v>
      </c>
      <c r="D10" s="113" t="s">
        <v>105</v>
      </c>
      <c r="E10" s="113"/>
      <c r="F10" s="114" t="s">
        <v>106</v>
      </c>
      <c r="G10" s="112" t="s">
        <v>104</v>
      </c>
      <c r="H10" s="113" t="s">
        <v>105</v>
      </c>
      <c r="I10" s="113" t="s">
        <v>105</v>
      </c>
      <c r="J10" s="113" t="s">
        <v>107</v>
      </c>
      <c r="K10" s="114" t="s">
        <v>106</v>
      </c>
      <c r="L10" s="112" t="s">
        <v>105</v>
      </c>
      <c r="M10" s="115" t="s">
        <v>105</v>
      </c>
      <c r="N10" s="116" t="s">
        <v>107</v>
      </c>
      <c r="O10" s="112" t="s">
        <v>105</v>
      </c>
      <c r="P10" s="115" t="s">
        <v>105</v>
      </c>
      <c r="Q10" s="116" t="s">
        <v>107</v>
      </c>
      <c r="R10" s="112" t="s">
        <v>104</v>
      </c>
      <c r="S10" s="113" t="s">
        <v>105</v>
      </c>
      <c r="T10" s="113" t="s">
        <v>105</v>
      </c>
      <c r="U10" s="113" t="s">
        <v>108</v>
      </c>
      <c r="V10" s="114" t="s">
        <v>106</v>
      </c>
      <c r="W10" s="112" t="s">
        <v>105</v>
      </c>
      <c r="X10" s="115" t="s">
        <v>105</v>
      </c>
      <c r="Y10" s="114" t="s">
        <v>108</v>
      </c>
      <c r="Z10" s="112" t="s">
        <v>105</v>
      </c>
      <c r="AA10" s="115" t="s">
        <v>105</v>
      </c>
      <c r="AB10" s="114" t="s">
        <v>108</v>
      </c>
      <c r="AC10" s="117" t="s">
        <v>105</v>
      </c>
      <c r="AD10" s="115" t="s">
        <v>105</v>
      </c>
      <c r="AE10" s="115" t="s">
        <v>105</v>
      </c>
      <c r="AF10" s="118" t="s">
        <v>108</v>
      </c>
      <c r="AG10" s="112" t="s">
        <v>105</v>
      </c>
      <c r="AH10" s="115" t="s">
        <v>105</v>
      </c>
      <c r="AI10" s="116" t="s">
        <v>108</v>
      </c>
      <c r="AJ10" s="119">
        <v>2009</v>
      </c>
    </row>
    <row r="11" spans="1:36" ht="13.5" thickBot="1">
      <c r="A11" s="120" t="s">
        <v>95</v>
      </c>
      <c r="B11" s="121">
        <v>1</v>
      </c>
      <c r="C11" s="122">
        <v>2</v>
      </c>
      <c r="D11" s="122">
        <v>3</v>
      </c>
      <c r="E11" s="122">
        <v>4</v>
      </c>
      <c r="F11" s="122">
        <v>5</v>
      </c>
      <c r="G11" s="121">
        <v>6</v>
      </c>
      <c r="H11" s="122">
        <v>7</v>
      </c>
      <c r="I11" s="122">
        <v>8</v>
      </c>
      <c r="J11" s="122">
        <v>9</v>
      </c>
      <c r="K11" s="123">
        <v>10</v>
      </c>
      <c r="L11" s="121">
        <v>11</v>
      </c>
      <c r="M11" s="122">
        <v>12</v>
      </c>
      <c r="N11" s="123">
        <v>13</v>
      </c>
      <c r="O11" s="121">
        <v>14</v>
      </c>
      <c r="P11" s="122">
        <v>15</v>
      </c>
      <c r="Q11" s="123">
        <v>16</v>
      </c>
      <c r="R11" s="121">
        <v>17</v>
      </c>
      <c r="S11" s="122">
        <v>18</v>
      </c>
      <c r="T11" s="122">
        <v>19</v>
      </c>
      <c r="U11" s="122">
        <v>20</v>
      </c>
      <c r="V11" s="123">
        <v>21</v>
      </c>
      <c r="W11" s="121">
        <v>22</v>
      </c>
      <c r="X11" s="122">
        <v>23</v>
      </c>
      <c r="Y11" s="123">
        <v>24</v>
      </c>
      <c r="Z11" s="121">
        <v>25</v>
      </c>
      <c r="AA11" s="122">
        <v>26</v>
      </c>
      <c r="AB11" s="123">
        <v>27</v>
      </c>
      <c r="AC11" s="124">
        <v>28</v>
      </c>
      <c r="AD11" s="121">
        <v>29</v>
      </c>
      <c r="AE11" s="125">
        <v>30</v>
      </c>
      <c r="AF11" s="126">
        <v>31</v>
      </c>
      <c r="AG11" s="121">
        <v>32</v>
      </c>
      <c r="AH11" s="125">
        <v>33</v>
      </c>
      <c r="AI11" s="127">
        <v>34</v>
      </c>
      <c r="AJ11" s="128">
        <v>35</v>
      </c>
    </row>
    <row r="12" spans="1:36" s="139" customFormat="1" ht="15">
      <c r="A12" s="129" t="s">
        <v>109</v>
      </c>
      <c r="B12" s="130"/>
      <c r="C12" s="131"/>
      <c r="D12" s="131"/>
      <c r="E12" s="132"/>
      <c r="F12" s="133"/>
      <c r="G12" s="130"/>
      <c r="H12" s="131"/>
      <c r="I12" s="131"/>
      <c r="J12" s="132"/>
      <c r="K12" s="133"/>
      <c r="L12" s="130"/>
      <c r="M12" s="131"/>
      <c r="N12" s="133"/>
      <c r="O12" s="130"/>
      <c r="P12" s="131"/>
      <c r="Q12" s="133"/>
      <c r="R12" s="130"/>
      <c r="S12" s="131"/>
      <c r="T12" s="131"/>
      <c r="U12" s="132"/>
      <c r="V12" s="133"/>
      <c r="W12" s="130"/>
      <c r="X12" s="131"/>
      <c r="Y12" s="133"/>
      <c r="Z12" s="130"/>
      <c r="AA12" s="131"/>
      <c r="AB12" s="133"/>
      <c r="AC12" s="134"/>
      <c r="AD12" s="130"/>
      <c r="AE12" s="131"/>
      <c r="AF12" s="135"/>
      <c r="AG12" s="130"/>
      <c r="AH12" s="136"/>
      <c r="AI12" s="137"/>
      <c r="AJ12" s="138"/>
    </row>
    <row r="13" spans="1:36" s="139" customFormat="1" ht="15">
      <c r="A13" s="140" t="s">
        <v>110</v>
      </c>
      <c r="B13" s="141">
        <f>IF(C13+D13=B18+B47,B47+B18,"chyba")</f>
        <v>8565305</v>
      </c>
      <c r="C13" s="142">
        <f>C18+C47</f>
        <v>59757</v>
      </c>
      <c r="D13" s="142">
        <f>D18+D47</f>
        <v>8505548</v>
      </c>
      <c r="E13" s="143">
        <f>E18+E47</f>
        <v>25912</v>
      </c>
      <c r="F13" s="144">
        <f>IF(E13=0,0,ROUND(D13/E13/12*1000,0))</f>
        <v>27354</v>
      </c>
      <c r="G13" s="141">
        <f>IF(H13+I13=G18+G47,G47+G18,"chyba")</f>
        <v>8659607</v>
      </c>
      <c r="H13" s="142">
        <f>H18+H47</f>
        <v>61808</v>
      </c>
      <c r="I13" s="142">
        <f>I18+I47</f>
        <v>8597799</v>
      </c>
      <c r="J13" s="143">
        <f>J18+J47</f>
        <v>25913</v>
      </c>
      <c r="K13" s="144">
        <f>IF(J13=0,0,ROUND(I13/J13/12*1000,0))</f>
        <v>27650</v>
      </c>
      <c r="L13" s="141">
        <f aca="true" t="shared" si="0" ref="L13:Q13">L18+L47</f>
        <v>0</v>
      </c>
      <c r="M13" s="142">
        <f t="shared" si="0"/>
        <v>0</v>
      </c>
      <c r="N13" s="144">
        <f t="shared" si="0"/>
        <v>0</v>
      </c>
      <c r="O13" s="141">
        <f t="shared" si="0"/>
        <v>0</v>
      </c>
      <c r="P13" s="142">
        <f t="shared" si="0"/>
        <v>0</v>
      </c>
      <c r="Q13" s="144">
        <f t="shared" si="0"/>
        <v>0</v>
      </c>
      <c r="R13" s="141">
        <f>IF(S13+T13=R18+R47,R47+R18,"chyba")</f>
        <v>4722672.84</v>
      </c>
      <c r="S13" s="142">
        <f>S18+S47</f>
        <v>13451.54</v>
      </c>
      <c r="T13" s="142">
        <f>T18+T47</f>
        <v>4709221.3</v>
      </c>
      <c r="U13" s="143">
        <f>U18+U47</f>
        <v>15330</v>
      </c>
      <c r="V13" s="144">
        <f>IF(U13=0,0,ROUND(T13/U13/12*1000,0))</f>
        <v>25599</v>
      </c>
      <c r="W13" s="141">
        <f aca="true" t="shared" si="1" ref="W13:AB13">W18+W47</f>
        <v>0</v>
      </c>
      <c r="X13" s="142">
        <f t="shared" si="1"/>
        <v>0</v>
      </c>
      <c r="Y13" s="144">
        <f t="shared" si="1"/>
        <v>0</v>
      </c>
      <c r="Z13" s="141">
        <f t="shared" si="1"/>
        <v>0</v>
      </c>
      <c r="AA13" s="142">
        <f t="shared" si="1"/>
        <v>0</v>
      </c>
      <c r="AB13" s="144">
        <f t="shared" si="1"/>
        <v>0</v>
      </c>
      <c r="AC13" s="145"/>
      <c r="AD13" s="141">
        <f aca="true" t="shared" si="2" ref="AD13:AJ13">AD18+AD47</f>
        <v>0</v>
      </c>
      <c r="AE13" s="142">
        <f t="shared" si="2"/>
        <v>0</v>
      </c>
      <c r="AF13" s="146">
        <f t="shared" si="2"/>
        <v>0</v>
      </c>
      <c r="AG13" s="141">
        <f t="shared" si="2"/>
        <v>0</v>
      </c>
      <c r="AH13" s="147">
        <f t="shared" si="2"/>
        <v>0</v>
      </c>
      <c r="AI13" s="148">
        <f t="shared" si="2"/>
        <v>0</v>
      </c>
      <c r="AJ13" s="149">
        <f t="shared" si="2"/>
        <v>0</v>
      </c>
    </row>
    <row r="14" spans="1:36" s="139" customFormat="1" ht="15">
      <c r="A14" s="94" t="s">
        <v>111</v>
      </c>
      <c r="B14" s="150"/>
      <c r="C14" s="151"/>
      <c r="D14" s="151"/>
      <c r="E14" s="152"/>
      <c r="F14" s="153"/>
      <c r="G14" s="150"/>
      <c r="H14" s="151"/>
      <c r="I14" s="151"/>
      <c r="J14" s="152"/>
      <c r="K14" s="153"/>
      <c r="L14" s="150"/>
      <c r="M14" s="151"/>
      <c r="N14" s="153"/>
      <c r="O14" s="150"/>
      <c r="P14" s="151"/>
      <c r="Q14" s="153"/>
      <c r="R14" s="150"/>
      <c r="S14" s="151"/>
      <c r="T14" s="151"/>
      <c r="U14" s="152"/>
      <c r="V14" s="153"/>
      <c r="W14" s="150"/>
      <c r="X14" s="151"/>
      <c r="Y14" s="153"/>
      <c r="Z14" s="150"/>
      <c r="AA14" s="151"/>
      <c r="AB14" s="153"/>
      <c r="AC14" s="134"/>
      <c r="AD14" s="150"/>
      <c r="AE14" s="151"/>
      <c r="AF14" s="154"/>
      <c r="AG14" s="150"/>
      <c r="AH14" s="155"/>
      <c r="AI14" s="156"/>
      <c r="AJ14" s="157"/>
    </row>
    <row r="15" spans="1:36" s="139" customFormat="1" ht="15">
      <c r="A15" s="158" t="s">
        <v>112</v>
      </c>
      <c r="B15" s="159">
        <f>C15+D15</f>
        <v>0</v>
      </c>
      <c r="C15" s="160"/>
      <c r="D15" s="160"/>
      <c r="E15" s="161"/>
      <c r="F15" s="162">
        <f>IF(E15=0,0,ROUND(D15/E15/12*1000,0))</f>
        <v>0</v>
      </c>
      <c r="G15" s="159">
        <f>H15+I15</f>
        <v>0</v>
      </c>
      <c r="H15" s="160"/>
      <c r="I15" s="160"/>
      <c r="J15" s="161"/>
      <c r="K15" s="162">
        <f>IF(J15=0,0,ROUND(I15/J15/12*1000,0))</f>
        <v>0</v>
      </c>
      <c r="L15" s="163"/>
      <c r="M15" s="160"/>
      <c r="N15" s="164"/>
      <c r="O15" s="163"/>
      <c r="P15" s="160"/>
      <c r="Q15" s="164"/>
      <c r="R15" s="159">
        <f>S15+T15</f>
        <v>0</v>
      </c>
      <c r="S15" s="160"/>
      <c r="T15" s="160"/>
      <c r="U15" s="161"/>
      <c r="V15" s="162">
        <f>IF(U15=0,0,ROUND(T15/U15/12*1000,0))</f>
        <v>0</v>
      </c>
      <c r="W15" s="163"/>
      <c r="X15" s="160"/>
      <c r="Y15" s="164"/>
      <c r="Z15" s="163"/>
      <c r="AA15" s="160"/>
      <c r="AB15" s="164"/>
      <c r="AC15" s="165"/>
      <c r="AD15" s="163"/>
      <c r="AE15" s="160"/>
      <c r="AF15" s="166"/>
      <c r="AG15" s="163"/>
      <c r="AH15" s="167"/>
      <c r="AI15" s="168"/>
      <c r="AJ15" s="169"/>
    </row>
    <row r="16" spans="1:36" s="139" customFormat="1" ht="15.75" thickBot="1">
      <c r="A16" s="170" t="s">
        <v>113</v>
      </c>
      <c r="B16" s="171"/>
      <c r="C16" s="172"/>
      <c r="D16" s="172">
        <f>D21</f>
        <v>2025848</v>
      </c>
      <c r="E16" s="173">
        <f>E21</f>
        <v>5045</v>
      </c>
      <c r="F16" s="174">
        <f>IF(E16=0,0,ROUND(D16/E16/12*1000,0))</f>
        <v>33463</v>
      </c>
      <c r="G16" s="171"/>
      <c r="H16" s="172"/>
      <c r="I16" s="172">
        <f>I21</f>
        <v>2025788</v>
      </c>
      <c r="J16" s="173">
        <f>J21</f>
        <v>5045</v>
      </c>
      <c r="K16" s="174">
        <f>IF(J16=0,0,ROUND(I16/J16/12*1000,0))</f>
        <v>33462</v>
      </c>
      <c r="L16" s="171"/>
      <c r="M16" s="172">
        <f>M21</f>
        <v>0</v>
      </c>
      <c r="N16" s="174">
        <f>N21</f>
        <v>0</v>
      </c>
      <c r="O16" s="171"/>
      <c r="P16" s="172">
        <f>P21</f>
        <v>0</v>
      </c>
      <c r="Q16" s="174">
        <f>Q21</f>
        <v>0</v>
      </c>
      <c r="R16" s="171"/>
      <c r="S16" s="172"/>
      <c r="T16" s="172">
        <f>T21</f>
        <v>0</v>
      </c>
      <c r="U16" s="173">
        <f>U21</f>
        <v>0</v>
      </c>
      <c r="V16" s="174">
        <f>IF(U16=0,0,ROUND(T16/U16/12*1000,0))</f>
        <v>0</v>
      </c>
      <c r="W16" s="171"/>
      <c r="X16" s="172">
        <f>X21</f>
        <v>0</v>
      </c>
      <c r="Y16" s="174">
        <f>Y21</f>
        <v>0</v>
      </c>
      <c r="Z16" s="171"/>
      <c r="AA16" s="172">
        <f>AA21</f>
        <v>0</v>
      </c>
      <c r="AB16" s="174">
        <f>AB21</f>
        <v>0</v>
      </c>
      <c r="AC16" s="175"/>
      <c r="AD16" s="171"/>
      <c r="AE16" s="172">
        <f>AE21</f>
        <v>0</v>
      </c>
      <c r="AF16" s="176">
        <f>AF21</f>
        <v>0</v>
      </c>
      <c r="AG16" s="171"/>
      <c r="AH16" s="177">
        <f>AH21</f>
        <v>0</v>
      </c>
      <c r="AI16" s="178">
        <f>AI21</f>
        <v>0</v>
      </c>
      <c r="AJ16" s="179"/>
    </row>
    <row r="17" spans="1:36" s="139" customFormat="1" ht="15">
      <c r="A17" s="180" t="s">
        <v>24</v>
      </c>
      <c r="B17" s="150"/>
      <c r="C17" s="151"/>
      <c r="D17" s="151"/>
      <c r="E17" s="152"/>
      <c r="F17" s="153"/>
      <c r="G17" s="150"/>
      <c r="H17" s="151"/>
      <c r="I17" s="151"/>
      <c r="J17" s="152"/>
      <c r="K17" s="153"/>
      <c r="L17" s="150"/>
      <c r="M17" s="151"/>
      <c r="N17" s="153"/>
      <c r="O17" s="150"/>
      <c r="P17" s="151"/>
      <c r="Q17" s="153"/>
      <c r="R17" s="150"/>
      <c r="S17" s="151"/>
      <c r="T17" s="151"/>
      <c r="U17" s="152"/>
      <c r="V17" s="153"/>
      <c r="W17" s="150"/>
      <c r="X17" s="151"/>
      <c r="Y17" s="153"/>
      <c r="Z17" s="150"/>
      <c r="AA17" s="151"/>
      <c r="AB17" s="153"/>
      <c r="AC17" s="134"/>
      <c r="AD17" s="150"/>
      <c r="AE17" s="151"/>
      <c r="AF17" s="154"/>
      <c r="AG17" s="150"/>
      <c r="AH17" s="155"/>
      <c r="AI17" s="156"/>
      <c r="AJ17" s="157"/>
    </row>
    <row r="18" spans="1:36" s="139" customFormat="1" ht="15">
      <c r="A18" s="181" t="s">
        <v>114</v>
      </c>
      <c r="B18" s="141">
        <f>C18+D18</f>
        <v>7829907</v>
      </c>
      <c r="C18" s="142">
        <f>C23+C32+C43</f>
        <v>40663</v>
      </c>
      <c r="D18" s="142">
        <f>D23+D32+D43</f>
        <v>7789244</v>
      </c>
      <c r="E18" s="143">
        <f>E23+E32+E43</f>
        <v>23715</v>
      </c>
      <c r="F18" s="144">
        <f>IF(E18=0,0,ROUND(D18/E18/12*1000,0))</f>
        <v>27371</v>
      </c>
      <c r="G18" s="141">
        <f>H18+I18</f>
        <v>7924209</v>
      </c>
      <c r="H18" s="142">
        <f>H23+H32+H43</f>
        <v>42714</v>
      </c>
      <c r="I18" s="142">
        <f>I23+I32+I43</f>
        <v>7881495</v>
      </c>
      <c r="J18" s="143">
        <f>J23+J32+J43</f>
        <v>23716</v>
      </c>
      <c r="K18" s="144">
        <f>IF(J18=0,0,ROUND(I18/J18/12*1000,0))</f>
        <v>27694</v>
      </c>
      <c r="L18" s="141">
        <f aca="true" t="shared" si="3" ref="L18:Q18">L23+L32+L43</f>
        <v>0</v>
      </c>
      <c r="M18" s="142">
        <f t="shared" si="3"/>
        <v>0</v>
      </c>
      <c r="N18" s="144">
        <f t="shared" si="3"/>
        <v>0</v>
      </c>
      <c r="O18" s="141">
        <f t="shared" si="3"/>
        <v>0</v>
      </c>
      <c r="P18" s="142">
        <f t="shared" si="3"/>
        <v>0</v>
      </c>
      <c r="Q18" s="144">
        <f t="shared" si="3"/>
        <v>0</v>
      </c>
      <c r="R18" s="141">
        <f>S18+T18</f>
        <v>4722672.84</v>
      </c>
      <c r="S18" s="142">
        <f>S23+S32+S43</f>
        <v>13451.54</v>
      </c>
      <c r="T18" s="142">
        <f>T23+T32+T43</f>
        <v>4709221.3</v>
      </c>
      <c r="U18" s="143">
        <f>U23+U32+U43</f>
        <v>15330</v>
      </c>
      <c r="V18" s="144">
        <f>IF(U18=0,0,ROUND(T18/U18/12*1000,0))</f>
        <v>25599</v>
      </c>
      <c r="W18" s="141">
        <f aca="true" t="shared" si="4" ref="W18:AB18">W23+W32+W43</f>
        <v>0</v>
      </c>
      <c r="X18" s="142">
        <f t="shared" si="4"/>
        <v>0</v>
      </c>
      <c r="Y18" s="144">
        <f t="shared" si="4"/>
        <v>0</v>
      </c>
      <c r="Z18" s="141">
        <f t="shared" si="4"/>
        <v>0</v>
      </c>
      <c r="AA18" s="142">
        <f t="shared" si="4"/>
        <v>0</v>
      </c>
      <c r="AB18" s="144">
        <f t="shared" si="4"/>
        <v>0</v>
      </c>
      <c r="AC18" s="145"/>
      <c r="AD18" s="141">
        <f aca="true" t="shared" si="5" ref="AD18:AJ18">AD23+AD32+AD43</f>
        <v>0</v>
      </c>
      <c r="AE18" s="142">
        <f t="shared" si="5"/>
        <v>0</v>
      </c>
      <c r="AF18" s="146">
        <f t="shared" si="5"/>
        <v>0</v>
      </c>
      <c r="AG18" s="141">
        <f t="shared" si="5"/>
        <v>0</v>
      </c>
      <c r="AH18" s="147">
        <f t="shared" si="5"/>
        <v>0</v>
      </c>
      <c r="AI18" s="148">
        <f t="shared" si="5"/>
        <v>0</v>
      </c>
      <c r="AJ18" s="149">
        <f t="shared" si="5"/>
        <v>0</v>
      </c>
    </row>
    <row r="19" spans="1:36" s="139" customFormat="1" ht="15">
      <c r="A19" s="94" t="s">
        <v>111</v>
      </c>
      <c r="B19" s="150"/>
      <c r="C19" s="151"/>
      <c r="D19" s="151"/>
      <c r="E19" s="152"/>
      <c r="F19" s="153"/>
      <c r="G19" s="150"/>
      <c r="H19" s="151"/>
      <c r="I19" s="151"/>
      <c r="J19" s="152"/>
      <c r="K19" s="153"/>
      <c r="L19" s="150"/>
      <c r="M19" s="151"/>
      <c r="N19" s="153"/>
      <c r="O19" s="150"/>
      <c r="P19" s="151"/>
      <c r="Q19" s="153"/>
      <c r="R19" s="150"/>
      <c r="S19" s="151"/>
      <c r="T19" s="151"/>
      <c r="U19" s="152"/>
      <c r="V19" s="153"/>
      <c r="W19" s="150"/>
      <c r="X19" s="151"/>
      <c r="Y19" s="153"/>
      <c r="Z19" s="150"/>
      <c r="AA19" s="151"/>
      <c r="AB19" s="153"/>
      <c r="AC19" s="134"/>
      <c r="AD19" s="150"/>
      <c r="AE19" s="151"/>
      <c r="AF19" s="154"/>
      <c r="AG19" s="150"/>
      <c r="AH19" s="155"/>
      <c r="AI19" s="156"/>
      <c r="AJ19" s="157"/>
    </row>
    <row r="20" spans="1:36" s="139" customFormat="1" ht="15">
      <c r="A20" s="158" t="s">
        <v>112</v>
      </c>
      <c r="B20" s="159">
        <f>C20+D20</f>
        <v>0</v>
      </c>
      <c r="C20" s="160"/>
      <c r="D20" s="160"/>
      <c r="E20" s="161"/>
      <c r="F20" s="162">
        <f>IF(E20=0,0,ROUND(D20/E20/12*1000,0))</f>
        <v>0</v>
      </c>
      <c r="G20" s="159">
        <f>H20+I20</f>
        <v>0</v>
      </c>
      <c r="H20" s="160"/>
      <c r="I20" s="160"/>
      <c r="J20" s="161"/>
      <c r="K20" s="162">
        <f>IF(J20=0,0,ROUND(I20/J20/12*1000,0))</f>
        <v>0</v>
      </c>
      <c r="L20" s="163"/>
      <c r="M20" s="160"/>
      <c r="N20" s="164"/>
      <c r="O20" s="163"/>
      <c r="P20" s="160"/>
      <c r="Q20" s="164"/>
      <c r="R20" s="159">
        <f>S20+T20</f>
        <v>0</v>
      </c>
      <c r="S20" s="160"/>
      <c r="T20" s="160"/>
      <c r="U20" s="161"/>
      <c r="V20" s="162">
        <f>IF(U20=0,0,ROUND(T20/U20/12*1000,0))</f>
        <v>0</v>
      </c>
      <c r="W20" s="163"/>
      <c r="X20" s="160"/>
      <c r="Y20" s="164"/>
      <c r="Z20" s="163"/>
      <c r="AA20" s="160"/>
      <c r="AB20" s="164"/>
      <c r="AC20" s="165"/>
      <c r="AD20" s="163"/>
      <c r="AE20" s="160"/>
      <c r="AF20" s="166"/>
      <c r="AG20" s="163"/>
      <c r="AH20" s="167"/>
      <c r="AI20" s="168"/>
      <c r="AJ20" s="169"/>
    </row>
    <row r="21" spans="1:36" s="139" customFormat="1" ht="15.75" thickBot="1">
      <c r="A21" s="170" t="s">
        <v>113</v>
      </c>
      <c r="B21" s="171">
        <f>C21+D21</f>
        <v>2025848</v>
      </c>
      <c r="C21" s="172"/>
      <c r="D21" s="172">
        <f>D45</f>
        <v>2025848</v>
      </c>
      <c r="E21" s="173">
        <f>E45</f>
        <v>5045</v>
      </c>
      <c r="F21" s="174">
        <f>IF(E21=0,0,ROUND(D21/E21/12*1000,0))</f>
        <v>33463</v>
      </c>
      <c r="G21" s="171">
        <f>H21+I21</f>
        <v>2025788</v>
      </c>
      <c r="H21" s="172"/>
      <c r="I21" s="172">
        <f>I45</f>
        <v>2025788</v>
      </c>
      <c r="J21" s="173">
        <f>J45</f>
        <v>5045</v>
      </c>
      <c r="K21" s="174">
        <f>IF(J21=0,0,ROUND(I21/J21/12*1000,0))</f>
        <v>33462</v>
      </c>
      <c r="L21" s="171"/>
      <c r="M21" s="172">
        <f>M45</f>
        <v>0</v>
      </c>
      <c r="N21" s="174">
        <f>N45</f>
        <v>0</v>
      </c>
      <c r="O21" s="171"/>
      <c r="P21" s="172">
        <f>P45</f>
        <v>0</v>
      </c>
      <c r="Q21" s="174">
        <f>Q45</f>
        <v>0</v>
      </c>
      <c r="R21" s="171">
        <f>S21+T21</f>
        <v>0</v>
      </c>
      <c r="S21" s="172"/>
      <c r="T21" s="172">
        <f>T45</f>
        <v>0</v>
      </c>
      <c r="U21" s="173">
        <f>U45</f>
        <v>0</v>
      </c>
      <c r="V21" s="174">
        <f>IF(U21=0,0,ROUND(T21/U21/12*1000,0))</f>
        <v>0</v>
      </c>
      <c r="W21" s="171"/>
      <c r="X21" s="172">
        <f>X45</f>
        <v>0</v>
      </c>
      <c r="Y21" s="174">
        <f>Y45</f>
        <v>0</v>
      </c>
      <c r="Z21" s="171"/>
      <c r="AA21" s="172">
        <f>AA45</f>
        <v>0</v>
      </c>
      <c r="AB21" s="174">
        <f>AB45</f>
        <v>0</v>
      </c>
      <c r="AC21" s="175"/>
      <c r="AD21" s="171"/>
      <c r="AE21" s="172">
        <f>AE45</f>
        <v>0</v>
      </c>
      <c r="AF21" s="176">
        <f>AF45</f>
        <v>0</v>
      </c>
      <c r="AG21" s="171"/>
      <c r="AH21" s="177">
        <f>AH45</f>
        <v>0</v>
      </c>
      <c r="AI21" s="178">
        <f>AI45</f>
        <v>0</v>
      </c>
      <c r="AJ21" s="179"/>
    </row>
    <row r="22" spans="1:36" s="139" customFormat="1" ht="15">
      <c r="A22" s="94" t="s">
        <v>115</v>
      </c>
      <c r="B22" s="150"/>
      <c r="C22" s="151"/>
      <c r="D22" s="151"/>
      <c r="E22" s="152"/>
      <c r="F22" s="153"/>
      <c r="G22" s="150"/>
      <c r="H22" s="151"/>
      <c r="I22" s="151"/>
      <c r="J22" s="152"/>
      <c r="K22" s="153"/>
      <c r="L22" s="150"/>
      <c r="M22" s="151"/>
      <c r="N22" s="153"/>
      <c r="O22" s="150"/>
      <c r="P22" s="151"/>
      <c r="Q22" s="153"/>
      <c r="R22" s="150"/>
      <c r="S22" s="151"/>
      <c r="T22" s="151"/>
      <c r="U22" s="152"/>
      <c r="V22" s="153"/>
      <c r="W22" s="150"/>
      <c r="X22" s="151"/>
      <c r="Y22" s="153"/>
      <c r="Z22" s="150"/>
      <c r="AA22" s="151"/>
      <c r="AB22" s="153"/>
      <c r="AC22" s="134"/>
      <c r="AD22" s="150"/>
      <c r="AE22" s="151"/>
      <c r="AF22" s="154"/>
      <c r="AG22" s="150"/>
      <c r="AH22" s="155"/>
      <c r="AI22" s="156"/>
      <c r="AJ22" s="157"/>
    </row>
    <row r="23" spans="1:36" s="139" customFormat="1" ht="15">
      <c r="A23" s="182" t="s">
        <v>116</v>
      </c>
      <c r="B23" s="141">
        <f>C23+D23</f>
        <v>671010</v>
      </c>
      <c r="C23" s="183">
        <f>'[1]312 MF'!DF13</f>
        <v>19478</v>
      </c>
      <c r="D23" s="183">
        <f>'[1]312 MF'!DG13</f>
        <v>651532</v>
      </c>
      <c r="E23" s="184">
        <f>'[1]312 MF'!DH13</f>
        <v>1427</v>
      </c>
      <c r="F23" s="144">
        <f>IF(E23=0,0,ROUND(D23/E23/12*1000,0))</f>
        <v>38048</v>
      </c>
      <c r="G23" s="141">
        <f>H23+I23</f>
        <v>697900</v>
      </c>
      <c r="H23" s="183">
        <v>19978</v>
      </c>
      <c r="I23" s="183">
        <v>677922</v>
      </c>
      <c r="J23" s="184">
        <v>1428</v>
      </c>
      <c r="K23" s="144">
        <f>IF(J23=0,0,ROUND(I23/J23/12*1000,0))</f>
        <v>39561</v>
      </c>
      <c r="L23" s="185"/>
      <c r="M23" s="183"/>
      <c r="N23" s="186"/>
      <c r="O23" s="185"/>
      <c r="P23" s="183"/>
      <c r="Q23" s="186"/>
      <c r="R23" s="141">
        <f>S23+T23</f>
        <v>0</v>
      </c>
      <c r="S23" s="183"/>
      <c r="T23" s="183"/>
      <c r="U23" s="184"/>
      <c r="V23" s="144">
        <f>IF(U23=0,0,ROUND(T23/U23/12*1000,0))</f>
        <v>0</v>
      </c>
      <c r="W23" s="185"/>
      <c r="X23" s="183"/>
      <c r="Y23" s="186"/>
      <c r="Z23" s="185"/>
      <c r="AA23" s="183"/>
      <c r="AB23" s="186"/>
      <c r="AC23" s="145"/>
      <c r="AD23" s="185"/>
      <c r="AE23" s="183"/>
      <c r="AF23" s="187"/>
      <c r="AG23" s="185"/>
      <c r="AH23" s="188"/>
      <c r="AI23" s="189"/>
      <c r="AJ23" s="190"/>
    </row>
    <row r="24" spans="1:36" s="139" customFormat="1" ht="15">
      <c r="A24" s="191"/>
      <c r="B24" s="141"/>
      <c r="C24" s="142"/>
      <c r="D24" s="142"/>
      <c r="E24" s="143"/>
      <c r="F24" s="144"/>
      <c r="G24" s="141"/>
      <c r="H24" s="142"/>
      <c r="I24" s="142"/>
      <c r="J24" s="143"/>
      <c r="K24" s="144"/>
      <c r="L24" s="141"/>
      <c r="M24" s="142"/>
      <c r="N24" s="144"/>
      <c r="O24" s="141"/>
      <c r="P24" s="142"/>
      <c r="Q24" s="144"/>
      <c r="R24" s="141"/>
      <c r="S24" s="142"/>
      <c r="T24" s="142"/>
      <c r="U24" s="143"/>
      <c r="V24" s="144"/>
      <c r="W24" s="141"/>
      <c r="X24" s="142"/>
      <c r="Y24" s="144"/>
      <c r="Z24" s="141"/>
      <c r="AA24" s="142"/>
      <c r="AB24" s="144"/>
      <c r="AC24" s="145"/>
      <c r="AD24" s="141"/>
      <c r="AE24" s="142"/>
      <c r="AF24" s="146"/>
      <c r="AG24" s="141"/>
      <c r="AH24" s="147"/>
      <c r="AI24" s="148"/>
      <c r="AJ24" s="149"/>
    </row>
    <row r="25" spans="1:36" s="139" customFormat="1" ht="15">
      <c r="A25" s="192" t="s">
        <v>117</v>
      </c>
      <c r="B25" s="141">
        <f aca="true" t="shared" si="6" ref="B25:B32">C25+D25</f>
        <v>4655569</v>
      </c>
      <c r="C25" s="183">
        <f>'[1]312 MF'!DF19</f>
        <v>12206</v>
      </c>
      <c r="D25" s="183">
        <f>'[1]312 MF'!DG19</f>
        <v>4643363</v>
      </c>
      <c r="E25" s="184">
        <f>'[1]312 MF'!DH19</f>
        <v>15598</v>
      </c>
      <c r="F25" s="144">
        <f aca="true" t="shared" si="7" ref="F25:F32">IF(E25=0,0,ROUND(D25/E25/12*1000,0))</f>
        <v>24807</v>
      </c>
      <c r="G25" s="141">
        <f aca="true" t="shared" si="8" ref="G25:G32">H25+I25</f>
        <v>4722681</v>
      </c>
      <c r="H25" s="183">
        <v>13457</v>
      </c>
      <c r="I25" s="183">
        <v>4709224</v>
      </c>
      <c r="J25" s="184">
        <v>15598</v>
      </c>
      <c r="K25" s="144">
        <f aca="true" t="shared" si="9" ref="K25:K32">IF(J25=0,0,ROUND(I25/J25/12*1000,0))</f>
        <v>25159</v>
      </c>
      <c r="L25" s="185"/>
      <c r="M25" s="183"/>
      <c r="N25" s="186"/>
      <c r="O25" s="185"/>
      <c r="P25" s="183"/>
      <c r="Q25" s="186"/>
      <c r="R25" s="141">
        <f aca="true" t="shared" si="10" ref="R25:R32">S25+T25</f>
        <v>4722672.84</v>
      </c>
      <c r="S25" s="183">
        <v>13451.54</v>
      </c>
      <c r="T25" s="183">
        <v>4709221.3</v>
      </c>
      <c r="U25" s="184">
        <v>15330</v>
      </c>
      <c r="V25" s="144">
        <f aca="true" t="shared" si="11" ref="V25:V32">IF(U25=0,0,ROUND(T25/U25/12*1000,0))</f>
        <v>25599</v>
      </c>
      <c r="W25" s="185">
        <v>0</v>
      </c>
      <c r="X25" s="183">
        <v>0</v>
      </c>
      <c r="Y25" s="186">
        <v>0</v>
      </c>
      <c r="Z25" s="185">
        <v>0</v>
      </c>
      <c r="AA25" s="183">
        <v>0</v>
      </c>
      <c r="AB25" s="186">
        <v>0</v>
      </c>
      <c r="AC25" s="145">
        <v>0</v>
      </c>
      <c r="AD25" s="185">
        <v>0</v>
      </c>
      <c r="AE25" s="183">
        <v>0</v>
      </c>
      <c r="AF25" s="187">
        <v>0</v>
      </c>
      <c r="AG25" s="185">
        <v>0</v>
      </c>
      <c r="AH25" s="188">
        <v>0</v>
      </c>
      <c r="AI25" s="189">
        <v>0</v>
      </c>
      <c r="AJ25" s="190">
        <v>0</v>
      </c>
    </row>
    <row r="26" spans="1:36" s="139" customFormat="1" ht="15" hidden="1">
      <c r="A26" s="193" t="s">
        <v>118</v>
      </c>
      <c r="B26" s="141">
        <f t="shared" si="6"/>
        <v>0</v>
      </c>
      <c r="C26" s="183"/>
      <c r="D26" s="183"/>
      <c r="E26" s="184"/>
      <c r="F26" s="144">
        <f t="shared" si="7"/>
        <v>0</v>
      </c>
      <c r="G26" s="141">
        <f t="shared" si="8"/>
        <v>0</v>
      </c>
      <c r="H26" s="183"/>
      <c r="I26" s="183"/>
      <c r="J26" s="184"/>
      <c r="K26" s="144">
        <f t="shared" si="9"/>
        <v>0</v>
      </c>
      <c r="L26" s="185"/>
      <c r="M26" s="183"/>
      <c r="N26" s="186"/>
      <c r="O26" s="185"/>
      <c r="P26" s="183"/>
      <c r="Q26" s="186"/>
      <c r="R26" s="141">
        <f t="shared" si="10"/>
        <v>0</v>
      </c>
      <c r="S26" s="183"/>
      <c r="T26" s="183"/>
      <c r="U26" s="184"/>
      <c r="V26" s="144">
        <f t="shared" si="11"/>
        <v>0</v>
      </c>
      <c r="W26" s="185"/>
      <c r="X26" s="183"/>
      <c r="Y26" s="186"/>
      <c r="Z26" s="185"/>
      <c r="AA26" s="183"/>
      <c r="AB26" s="186"/>
      <c r="AC26" s="145"/>
      <c r="AD26" s="185"/>
      <c r="AE26" s="183"/>
      <c r="AF26" s="187"/>
      <c r="AG26" s="185"/>
      <c r="AH26" s="188"/>
      <c r="AI26" s="189"/>
      <c r="AJ26" s="190"/>
    </row>
    <row r="27" spans="1:36" s="139" customFormat="1" ht="15" hidden="1">
      <c r="A27" s="193" t="s">
        <v>118</v>
      </c>
      <c r="B27" s="141">
        <f t="shared" si="6"/>
        <v>0</v>
      </c>
      <c r="C27" s="183"/>
      <c r="D27" s="183"/>
      <c r="E27" s="184"/>
      <c r="F27" s="144">
        <f t="shared" si="7"/>
        <v>0</v>
      </c>
      <c r="G27" s="141">
        <f t="shared" si="8"/>
        <v>0</v>
      </c>
      <c r="H27" s="183"/>
      <c r="I27" s="183"/>
      <c r="J27" s="184"/>
      <c r="K27" s="144">
        <f t="shared" si="9"/>
        <v>0</v>
      </c>
      <c r="L27" s="185"/>
      <c r="M27" s="183"/>
      <c r="N27" s="186"/>
      <c r="O27" s="185"/>
      <c r="P27" s="183"/>
      <c r="Q27" s="186"/>
      <c r="R27" s="141">
        <f t="shared" si="10"/>
        <v>0</v>
      </c>
      <c r="S27" s="183"/>
      <c r="T27" s="183"/>
      <c r="U27" s="184"/>
      <c r="V27" s="144">
        <f t="shared" si="11"/>
        <v>0</v>
      </c>
      <c r="W27" s="185"/>
      <c r="X27" s="183"/>
      <c r="Y27" s="186"/>
      <c r="Z27" s="185"/>
      <c r="AA27" s="183"/>
      <c r="AB27" s="186"/>
      <c r="AC27" s="145"/>
      <c r="AD27" s="185"/>
      <c r="AE27" s="183"/>
      <c r="AF27" s="187"/>
      <c r="AG27" s="185"/>
      <c r="AH27" s="188"/>
      <c r="AI27" s="189"/>
      <c r="AJ27" s="190"/>
    </row>
    <row r="28" spans="1:36" s="139" customFormat="1" ht="15" hidden="1">
      <c r="A28" s="193" t="s">
        <v>118</v>
      </c>
      <c r="B28" s="141">
        <f t="shared" si="6"/>
        <v>0</v>
      </c>
      <c r="C28" s="183"/>
      <c r="D28" s="183"/>
      <c r="E28" s="184"/>
      <c r="F28" s="144">
        <f t="shared" si="7"/>
        <v>0</v>
      </c>
      <c r="G28" s="141">
        <f t="shared" si="8"/>
        <v>0</v>
      </c>
      <c r="H28" s="183"/>
      <c r="I28" s="183"/>
      <c r="J28" s="184"/>
      <c r="K28" s="144">
        <f t="shared" si="9"/>
        <v>0</v>
      </c>
      <c r="L28" s="185"/>
      <c r="M28" s="183"/>
      <c r="N28" s="186"/>
      <c r="O28" s="185"/>
      <c r="P28" s="183"/>
      <c r="Q28" s="186"/>
      <c r="R28" s="141">
        <f t="shared" si="10"/>
        <v>0</v>
      </c>
      <c r="S28" s="183"/>
      <c r="T28" s="183"/>
      <c r="U28" s="184"/>
      <c r="V28" s="144">
        <f t="shared" si="11"/>
        <v>0</v>
      </c>
      <c r="W28" s="185"/>
      <c r="X28" s="183"/>
      <c r="Y28" s="186"/>
      <c r="Z28" s="185"/>
      <c r="AA28" s="183"/>
      <c r="AB28" s="186"/>
      <c r="AC28" s="145"/>
      <c r="AD28" s="185"/>
      <c r="AE28" s="183"/>
      <c r="AF28" s="187"/>
      <c r="AG28" s="185"/>
      <c r="AH28" s="188"/>
      <c r="AI28" s="189"/>
      <c r="AJ28" s="190"/>
    </row>
    <row r="29" spans="1:36" s="139" customFormat="1" ht="15" hidden="1">
      <c r="A29" s="193" t="s">
        <v>118</v>
      </c>
      <c r="B29" s="141">
        <f t="shared" si="6"/>
        <v>0</v>
      </c>
      <c r="C29" s="183"/>
      <c r="D29" s="183"/>
      <c r="E29" s="184"/>
      <c r="F29" s="144">
        <f t="shared" si="7"/>
        <v>0</v>
      </c>
      <c r="G29" s="141">
        <f t="shared" si="8"/>
        <v>0</v>
      </c>
      <c r="H29" s="183"/>
      <c r="I29" s="183"/>
      <c r="J29" s="184"/>
      <c r="K29" s="144">
        <f t="shared" si="9"/>
        <v>0</v>
      </c>
      <c r="L29" s="185"/>
      <c r="M29" s="183"/>
      <c r="N29" s="186"/>
      <c r="O29" s="185"/>
      <c r="P29" s="183"/>
      <c r="Q29" s="186"/>
      <c r="R29" s="141">
        <f t="shared" si="10"/>
        <v>0</v>
      </c>
      <c r="S29" s="183"/>
      <c r="T29" s="183"/>
      <c r="U29" s="184"/>
      <c r="V29" s="144">
        <f t="shared" si="11"/>
        <v>0</v>
      </c>
      <c r="W29" s="185"/>
      <c r="X29" s="183"/>
      <c r="Y29" s="186"/>
      <c r="Z29" s="185"/>
      <c r="AA29" s="183"/>
      <c r="AB29" s="186"/>
      <c r="AC29" s="145"/>
      <c r="AD29" s="185"/>
      <c r="AE29" s="183"/>
      <c r="AF29" s="187"/>
      <c r="AG29" s="185"/>
      <c r="AH29" s="188"/>
      <c r="AI29" s="189"/>
      <c r="AJ29" s="190"/>
    </row>
    <row r="30" spans="1:36" s="139" customFormat="1" ht="15" hidden="1">
      <c r="A30" s="193" t="s">
        <v>118</v>
      </c>
      <c r="B30" s="141">
        <f t="shared" si="6"/>
        <v>0</v>
      </c>
      <c r="C30" s="183"/>
      <c r="D30" s="183"/>
      <c r="E30" s="184"/>
      <c r="F30" s="144">
        <f t="shared" si="7"/>
        <v>0</v>
      </c>
      <c r="G30" s="141">
        <f t="shared" si="8"/>
        <v>0</v>
      </c>
      <c r="H30" s="183"/>
      <c r="I30" s="183"/>
      <c r="J30" s="184"/>
      <c r="K30" s="144">
        <f t="shared" si="9"/>
        <v>0</v>
      </c>
      <c r="L30" s="185"/>
      <c r="M30" s="183"/>
      <c r="N30" s="186"/>
      <c r="O30" s="185"/>
      <c r="P30" s="183"/>
      <c r="Q30" s="186"/>
      <c r="R30" s="141">
        <f t="shared" si="10"/>
        <v>0</v>
      </c>
      <c r="S30" s="183"/>
      <c r="T30" s="183"/>
      <c r="U30" s="184"/>
      <c r="V30" s="144">
        <f t="shared" si="11"/>
        <v>0</v>
      </c>
      <c r="W30" s="185"/>
      <c r="X30" s="183"/>
      <c r="Y30" s="186"/>
      <c r="Z30" s="185"/>
      <c r="AA30" s="183"/>
      <c r="AB30" s="186"/>
      <c r="AC30" s="145"/>
      <c r="AD30" s="185"/>
      <c r="AE30" s="183"/>
      <c r="AF30" s="187"/>
      <c r="AG30" s="185"/>
      <c r="AH30" s="188"/>
      <c r="AI30" s="189"/>
      <c r="AJ30" s="190"/>
    </row>
    <row r="31" spans="1:36" s="139" customFormat="1" ht="15" hidden="1">
      <c r="A31" s="193" t="s">
        <v>118</v>
      </c>
      <c r="B31" s="141">
        <f t="shared" si="6"/>
        <v>0</v>
      </c>
      <c r="C31" s="183"/>
      <c r="D31" s="183"/>
      <c r="E31" s="184"/>
      <c r="F31" s="144">
        <f t="shared" si="7"/>
        <v>0</v>
      </c>
      <c r="G31" s="141">
        <f t="shared" si="8"/>
        <v>0</v>
      </c>
      <c r="H31" s="183"/>
      <c r="I31" s="183"/>
      <c r="J31" s="184"/>
      <c r="K31" s="144">
        <f t="shared" si="9"/>
        <v>0</v>
      </c>
      <c r="L31" s="185"/>
      <c r="M31" s="183"/>
      <c r="N31" s="186"/>
      <c r="O31" s="185"/>
      <c r="P31" s="183"/>
      <c r="Q31" s="186"/>
      <c r="R31" s="141">
        <f t="shared" si="10"/>
        <v>0</v>
      </c>
      <c r="S31" s="183"/>
      <c r="T31" s="183"/>
      <c r="U31" s="184"/>
      <c r="V31" s="144">
        <f t="shared" si="11"/>
        <v>0</v>
      </c>
      <c r="W31" s="185"/>
      <c r="X31" s="183"/>
      <c r="Y31" s="186"/>
      <c r="Z31" s="185"/>
      <c r="AA31" s="183"/>
      <c r="AB31" s="186"/>
      <c r="AC31" s="145"/>
      <c r="AD31" s="185"/>
      <c r="AE31" s="183"/>
      <c r="AF31" s="187"/>
      <c r="AG31" s="185"/>
      <c r="AH31" s="188"/>
      <c r="AI31" s="189"/>
      <c r="AJ31" s="190"/>
    </row>
    <row r="32" spans="1:36" s="139" customFormat="1" ht="15">
      <c r="A32" s="194" t="s">
        <v>119</v>
      </c>
      <c r="B32" s="141">
        <f t="shared" si="6"/>
        <v>4655569</v>
      </c>
      <c r="C32" s="142">
        <f>SUM(C25:C31)</f>
        <v>12206</v>
      </c>
      <c r="D32" s="142">
        <f>SUM(D25:D31)</f>
        <v>4643363</v>
      </c>
      <c r="E32" s="143">
        <f>SUM(E25:E31)</f>
        <v>15598</v>
      </c>
      <c r="F32" s="144">
        <f t="shared" si="7"/>
        <v>24807</v>
      </c>
      <c r="G32" s="141">
        <f t="shared" si="8"/>
        <v>4722681</v>
      </c>
      <c r="H32" s="142">
        <f>SUM(H25:H31)</f>
        <v>13457</v>
      </c>
      <c r="I32" s="142">
        <f>SUM(I25:I31)</f>
        <v>4709224</v>
      </c>
      <c r="J32" s="143">
        <f>SUM(J25:J31)</f>
        <v>15598</v>
      </c>
      <c r="K32" s="144">
        <f t="shared" si="9"/>
        <v>25159</v>
      </c>
      <c r="L32" s="141">
        <f aca="true" t="shared" si="12" ref="L32:Q32">SUM(L25:L31)</f>
        <v>0</v>
      </c>
      <c r="M32" s="142">
        <f t="shared" si="12"/>
        <v>0</v>
      </c>
      <c r="N32" s="144">
        <f t="shared" si="12"/>
        <v>0</v>
      </c>
      <c r="O32" s="141">
        <f t="shared" si="12"/>
        <v>0</v>
      </c>
      <c r="P32" s="142">
        <f t="shared" si="12"/>
        <v>0</v>
      </c>
      <c r="Q32" s="144">
        <f t="shared" si="12"/>
        <v>0</v>
      </c>
      <c r="R32" s="141">
        <f t="shared" si="10"/>
        <v>4722672.84</v>
      </c>
      <c r="S32" s="142">
        <f>SUM(S25:S31)</f>
        <v>13451.54</v>
      </c>
      <c r="T32" s="142">
        <f>SUM(T25:T31)</f>
        <v>4709221.3</v>
      </c>
      <c r="U32" s="143">
        <f>SUM(U25:U31)</f>
        <v>15330</v>
      </c>
      <c r="V32" s="144">
        <f t="shared" si="11"/>
        <v>25599</v>
      </c>
      <c r="W32" s="141">
        <f aca="true" t="shared" si="13" ref="W32:AB32">SUM(W25:W31)</f>
        <v>0</v>
      </c>
      <c r="X32" s="142">
        <f t="shared" si="13"/>
        <v>0</v>
      </c>
      <c r="Y32" s="144">
        <f t="shared" si="13"/>
        <v>0</v>
      </c>
      <c r="Z32" s="141">
        <f t="shared" si="13"/>
        <v>0</v>
      </c>
      <c r="AA32" s="142">
        <f t="shared" si="13"/>
        <v>0</v>
      </c>
      <c r="AB32" s="144">
        <f t="shared" si="13"/>
        <v>0</v>
      </c>
      <c r="AC32" s="145"/>
      <c r="AD32" s="141">
        <f aca="true" t="shared" si="14" ref="AD32:AJ32">SUM(AD25:AD31)</f>
        <v>0</v>
      </c>
      <c r="AE32" s="142">
        <f t="shared" si="14"/>
        <v>0</v>
      </c>
      <c r="AF32" s="146">
        <f t="shared" si="14"/>
        <v>0</v>
      </c>
      <c r="AG32" s="141">
        <f t="shared" si="14"/>
        <v>0</v>
      </c>
      <c r="AH32" s="147">
        <f t="shared" si="14"/>
        <v>0</v>
      </c>
      <c r="AI32" s="148">
        <f t="shared" si="14"/>
        <v>0</v>
      </c>
      <c r="AJ32" s="149">
        <f t="shared" si="14"/>
        <v>0</v>
      </c>
    </row>
    <row r="33" spans="1:36" s="139" customFormat="1" ht="15">
      <c r="A33" s="195"/>
      <c r="B33" s="141"/>
      <c r="C33" s="142"/>
      <c r="D33" s="142"/>
      <c r="E33" s="143"/>
      <c r="F33" s="144"/>
      <c r="G33" s="141"/>
      <c r="H33" s="142"/>
      <c r="I33" s="142"/>
      <c r="J33" s="143"/>
      <c r="K33" s="144"/>
      <c r="L33" s="141"/>
      <c r="M33" s="142"/>
      <c r="N33" s="144"/>
      <c r="O33" s="141"/>
      <c r="P33" s="142"/>
      <c r="Q33" s="144"/>
      <c r="R33" s="141"/>
      <c r="S33" s="142"/>
      <c r="T33" s="142"/>
      <c r="U33" s="143"/>
      <c r="V33" s="144"/>
      <c r="W33" s="141"/>
      <c r="X33" s="142"/>
      <c r="Y33" s="144"/>
      <c r="Z33" s="141"/>
      <c r="AA33" s="142"/>
      <c r="AB33" s="144"/>
      <c r="AC33" s="145"/>
      <c r="AD33" s="141"/>
      <c r="AE33" s="142"/>
      <c r="AF33" s="146"/>
      <c r="AG33" s="141"/>
      <c r="AH33" s="147"/>
      <c r="AI33" s="148"/>
      <c r="AJ33" s="149"/>
    </row>
    <row r="34" spans="1:36" s="139" customFormat="1" ht="15">
      <c r="A34" s="196" t="s">
        <v>120</v>
      </c>
      <c r="B34" s="197">
        <f>C34+D34</f>
        <v>2503328</v>
      </c>
      <c r="C34" s="198">
        <f>'[1]312 MF'!DF28</f>
        <v>8979</v>
      </c>
      <c r="D34" s="198">
        <f>'[1]312 MF'!DG28</f>
        <v>2494349</v>
      </c>
      <c r="E34" s="199">
        <f>'[1]312 MF'!DH28</f>
        <v>6690</v>
      </c>
      <c r="F34" s="200">
        <f>IF(E34=0,0,ROUND(D34/E34/12*1000,0))</f>
        <v>31071</v>
      </c>
      <c r="G34" s="197">
        <f>H34+I34</f>
        <v>2503628</v>
      </c>
      <c r="H34" s="198">
        <v>9279</v>
      </c>
      <c r="I34" s="198">
        <v>2494349</v>
      </c>
      <c r="J34" s="199">
        <v>6690</v>
      </c>
      <c r="K34" s="200">
        <f>IF(J34=0,0,ROUND(I34/J34/12*1000,0))</f>
        <v>31071</v>
      </c>
      <c r="L34" s="201"/>
      <c r="M34" s="198"/>
      <c r="N34" s="202"/>
      <c r="O34" s="201"/>
      <c r="P34" s="198"/>
      <c r="Q34" s="202"/>
      <c r="R34" s="197">
        <f>S34+T34</f>
        <v>0</v>
      </c>
      <c r="S34" s="198"/>
      <c r="T34" s="198"/>
      <c r="U34" s="199"/>
      <c r="V34" s="200">
        <f>IF(U34=0,0,ROUND(T34/U34/12*1000,0))</f>
        <v>0</v>
      </c>
      <c r="W34" s="201"/>
      <c r="X34" s="198"/>
      <c r="Y34" s="202"/>
      <c r="Z34" s="201"/>
      <c r="AA34" s="198"/>
      <c r="AB34" s="202"/>
      <c r="AC34" s="203"/>
      <c r="AD34" s="201"/>
      <c r="AE34" s="198"/>
      <c r="AF34" s="204"/>
      <c r="AG34" s="201"/>
      <c r="AH34" s="205"/>
      <c r="AI34" s="206"/>
      <c r="AJ34" s="207"/>
    </row>
    <row r="35" spans="1:36" s="139" customFormat="1" ht="15">
      <c r="A35" s="94" t="s">
        <v>111</v>
      </c>
      <c r="B35" s="150"/>
      <c r="C35" s="151"/>
      <c r="D35" s="151"/>
      <c r="E35" s="152"/>
      <c r="F35" s="153"/>
      <c r="G35" s="150"/>
      <c r="H35" s="151"/>
      <c r="I35" s="151"/>
      <c r="J35" s="152"/>
      <c r="K35" s="153"/>
      <c r="L35" s="150"/>
      <c r="M35" s="151"/>
      <c r="N35" s="153"/>
      <c r="O35" s="150"/>
      <c r="P35" s="151"/>
      <c r="Q35" s="153"/>
      <c r="R35" s="150"/>
      <c r="S35" s="151"/>
      <c r="T35" s="151"/>
      <c r="U35" s="152"/>
      <c r="V35" s="153"/>
      <c r="W35" s="150"/>
      <c r="X35" s="151"/>
      <c r="Y35" s="153"/>
      <c r="Z35" s="150"/>
      <c r="AA35" s="151"/>
      <c r="AB35" s="153"/>
      <c r="AC35" s="134"/>
      <c r="AD35" s="150"/>
      <c r="AE35" s="151"/>
      <c r="AF35" s="154"/>
      <c r="AG35" s="150"/>
      <c r="AH35" s="155"/>
      <c r="AI35" s="156"/>
      <c r="AJ35" s="157"/>
    </row>
    <row r="36" spans="1:36" s="139" customFormat="1" ht="15">
      <c r="A36" s="208" t="s">
        <v>113</v>
      </c>
      <c r="B36" s="141"/>
      <c r="C36" s="142"/>
      <c r="D36" s="183">
        <f>'[1]312 MF'!DG30</f>
        <v>2025848</v>
      </c>
      <c r="E36" s="184">
        <f>'[1]312 MF'!DH30</f>
        <v>5045</v>
      </c>
      <c r="F36" s="144">
        <f>IF(E36=0,0,ROUND(D36/E36/12*1000,0))</f>
        <v>33463</v>
      </c>
      <c r="G36" s="141"/>
      <c r="H36" s="142"/>
      <c r="I36" s="183">
        <v>2025788</v>
      </c>
      <c r="J36" s="184">
        <v>5045</v>
      </c>
      <c r="K36" s="144">
        <f>IF(J36=0,0,ROUND(I36/J36/12*1000,0))</f>
        <v>33462</v>
      </c>
      <c r="L36" s="141"/>
      <c r="M36" s="183"/>
      <c r="N36" s="186"/>
      <c r="O36" s="141"/>
      <c r="P36" s="183"/>
      <c r="Q36" s="186"/>
      <c r="R36" s="141"/>
      <c r="S36" s="142"/>
      <c r="T36" s="183"/>
      <c r="U36" s="184"/>
      <c r="V36" s="144">
        <f>IF(U36=0,0,ROUND(T36/U36/12*1000,0))</f>
        <v>0</v>
      </c>
      <c r="W36" s="141"/>
      <c r="X36" s="183"/>
      <c r="Y36" s="186"/>
      <c r="Z36" s="141"/>
      <c r="AA36" s="183"/>
      <c r="AB36" s="186"/>
      <c r="AC36" s="145"/>
      <c r="AD36" s="141"/>
      <c r="AE36" s="183"/>
      <c r="AF36" s="187"/>
      <c r="AG36" s="141"/>
      <c r="AH36" s="188"/>
      <c r="AI36" s="189"/>
      <c r="AJ36" s="149"/>
    </row>
    <row r="37" spans="1:36" s="139" customFormat="1" ht="15" hidden="1">
      <c r="A37" s="209" t="s">
        <v>121</v>
      </c>
      <c r="B37" s="197">
        <f>C37+D37</f>
        <v>0</v>
      </c>
      <c r="C37" s="198"/>
      <c r="D37" s="198"/>
      <c r="E37" s="199"/>
      <c r="F37" s="200">
        <f>IF(E37=0,0,ROUND(D37/E37/12*1000,0))</f>
        <v>0</v>
      </c>
      <c r="G37" s="197">
        <f>H37+I37</f>
        <v>0</v>
      </c>
      <c r="H37" s="198"/>
      <c r="I37" s="198"/>
      <c r="J37" s="199"/>
      <c r="K37" s="200">
        <f>IF(J37=0,0,ROUND(I37/J37/12*1000,0))</f>
        <v>0</v>
      </c>
      <c r="L37" s="201"/>
      <c r="M37" s="198"/>
      <c r="N37" s="202"/>
      <c r="O37" s="201"/>
      <c r="P37" s="198"/>
      <c r="Q37" s="202"/>
      <c r="R37" s="197">
        <f>S37+T37</f>
        <v>0</v>
      </c>
      <c r="S37" s="198"/>
      <c r="T37" s="198"/>
      <c r="U37" s="199"/>
      <c r="V37" s="200">
        <f>IF(U37=0,0,ROUND(T37/U37/12*1000,0))</f>
        <v>0</v>
      </c>
      <c r="W37" s="201"/>
      <c r="X37" s="198"/>
      <c r="Y37" s="202"/>
      <c r="Z37" s="201"/>
      <c r="AA37" s="198"/>
      <c r="AB37" s="202"/>
      <c r="AC37" s="203"/>
      <c r="AD37" s="201"/>
      <c r="AE37" s="198"/>
      <c r="AF37" s="204"/>
      <c r="AG37" s="201"/>
      <c r="AH37" s="205"/>
      <c r="AI37" s="206"/>
      <c r="AJ37" s="207"/>
    </row>
    <row r="38" spans="1:36" s="139" customFormat="1" ht="15" hidden="1">
      <c r="A38" s="94" t="s">
        <v>111</v>
      </c>
      <c r="B38" s="150"/>
      <c r="C38" s="151"/>
      <c r="D38" s="151"/>
      <c r="E38" s="152"/>
      <c r="F38" s="153"/>
      <c r="G38" s="150"/>
      <c r="H38" s="151"/>
      <c r="I38" s="151"/>
      <c r="J38" s="152"/>
      <c r="K38" s="153"/>
      <c r="L38" s="150"/>
      <c r="M38" s="151"/>
      <c r="N38" s="153"/>
      <c r="O38" s="150"/>
      <c r="P38" s="151"/>
      <c r="Q38" s="153"/>
      <c r="R38" s="150"/>
      <c r="S38" s="151"/>
      <c r="T38" s="151"/>
      <c r="U38" s="152"/>
      <c r="V38" s="153"/>
      <c r="W38" s="150"/>
      <c r="X38" s="151"/>
      <c r="Y38" s="153"/>
      <c r="Z38" s="150"/>
      <c r="AA38" s="151"/>
      <c r="AB38" s="153"/>
      <c r="AC38" s="134"/>
      <c r="AD38" s="150"/>
      <c r="AE38" s="151"/>
      <c r="AF38" s="154"/>
      <c r="AG38" s="150"/>
      <c r="AH38" s="155"/>
      <c r="AI38" s="156"/>
      <c r="AJ38" s="157"/>
    </row>
    <row r="39" spans="1:36" s="139" customFormat="1" ht="15" hidden="1">
      <c r="A39" s="208" t="s">
        <v>113</v>
      </c>
      <c r="B39" s="141"/>
      <c r="C39" s="142"/>
      <c r="D39" s="183"/>
      <c r="E39" s="184"/>
      <c r="F39" s="144">
        <f>IF(E39=0,0,ROUND(D39/E39/12*1000,0))</f>
        <v>0</v>
      </c>
      <c r="G39" s="141"/>
      <c r="H39" s="142"/>
      <c r="I39" s="183"/>
      <c r="J39" s="184"/>
      <c r="K39" s="144">
        <f>IF(J39=0,0,ROUND(I39/J39/12*1000,0))</f>
        <v>0</v>
      </c>
      <c r="L39" s="141"/>
      <c r="M39" s="183"/>
      <c r="N39" s="186"/>
      <c r="O39" s="141"/>
      <c r="P39" s="183"/>
      <c r="Q39" s="186"/>
      <c r="R39" s="141"/>
      <c r="S39" s="142"/>
      <c r="T39" s="183"/>
      <c r="U39" s="184"/>
      <c r="V39" s="144">
        <f>IF(U39=0,0,ROUND(T39/U39/12*1000,0))</f>
        <v>0</v>
      </c>
      <c r="W39" s="141"/>
      <c r="X39" s="183"/>
      <c r="Y39" s="186"/>
      <c r="Z39" s="141"/>
      <c r="AA39" s="183"/>
      <c r="AB39" s="186"/>
      <c r="AC39" s="145"/>
      <c r="AD39" s="141"/>
      <c r="AE39" s="183"/>
      <c r="AF39" s="187"/>
      <c r="AG39" s="141"/>
      <c r="AH39" s="188"/>
      <c r="AI39" s="189"/>
      <c r="AJ39" s="149"/>
    </row>
    <row r="40" spans="1:36" s="139" customFormat="1" ht="15" hidden="1">
      <c r="A40" s="209" t="s">
        <v>121</v>
      </c>
      <c r="B40" s="197">
        <f>C40+D40</f>
        <v>0</v>
      </c>
      <c r="C40" s="198"/>
      <c r="D40" s="198"/>
      <c r="E40" s="199"/>
      <c r="F40" s="200">
        <f>IF(E40=0,0,ROUND(D40/E40/12*1000,0))</f>
        <v>0</v>
      </c>
      <c r="G40" s="197">
        <f>H40+I40</f>
        <v>0</v>
      </c>
      <c r="H40" s="198"/>
      <c r="I40" s="198"/>
      <c r="J40" s="199"/>
      <c r="K40" s="200">
        <f>IF(J40=0,0,ROUND(I40/J40/12*1000,0))</f>
        <v>0</v>
      </c>
      <c r="L40" s="201"/>
      <c r="M40" s="198"/>
      <c r="N40" s="202"/>
      <c r="O40" s="201"/>
      <c r="P40" s="198"/>
      <c r="Q40" s="202"/>
      <c r="R40" s="197">
        <f>S40+T40</f>
        <v>0</v>
      </c>
      <c r="S40" s="198"/>
      <c r="T40" s="198"/>
      <c r="U40" s="199"/>
      <c r="V40" s="200">
        <f>IF(U40=0,0,ROUND(T40/U40/12*1000,0))</f>
        <v>0</v>
      </c>
      <c r="W40" s="201"/>
      <c r="X40" s="198"/>
      <c r="Y40" s="202"/>
      <c r="Z40" s="201"/>
      <c r="AA40" s="198"/>
      <c r="AB40" s="202"/>
      <c r="AC40" s="203"/>
      <c r="AD40" s="201"/>
      <c r="AE40" s="198"/>
      <c r="AF40" s="204"/>
      <c r="AG40" s="201"/>
      <c r="AH40" s="205"/>
      <c r="AI40" s="206"/>
      <c r="AJ40" s="207"/>
    </row>
    <row r="41" spans="1:36" s="139" customFormat="1" ht="15" hidden="1">
      <c r="A41" s="94" t="s">
        <v>111</v>
      </c>
      <c r="B41" s="150"/>
      <c r="C41" s="151"/>
      <c r="D41" s="151"/>
      <c r="E41" s="152"/>
      <c r="F41" s="153"/>
      <c r="G41" s="150"/>
      <c r="H41" s="151"/>
      <c r="I41" s="151"/>
      <c r="J41" s="152"/>
      <c r="K41" s="153"/>
      <c r="L41" s="150"/>
      <c r="M41" s="151"/>
      <c r="N41" s="153"/>
      <c r="O41" s="150"/>
      <c r="P41" s="151"/>
      <c r="Q41" s="153"/>
      <c r="R41" s="150"/>
      <c r="S41" s="151"/>
      <c r="T41" s="151"/>
      <c r="U41" s="152"/>
      <c r="V41" s="153"/>
      <c r="W41" s="150"/>
      <c r="X41" s="151"/>
      <c r="Y41" s="153"/>
      <c r="Z41" s="150"/>
      <c r="AA41" s="151"/>
      <c r="AB41" s="153"/>
      <c r="AC41" s="134"/>
      <c r="AD41" s="150"/>
      <c r="AE41" s="151"/>
      <c r="AF41" s="154"/>
      <c r="AG41" s="150"/>
      <c r="AH41" s="155"/>
      <c r="AI41" s="156"/>
      <c r="AJ41" s="157"/>
    </row>
    <row r="42" spans="1:36" s="139" customFormat="1" ht="15" hidden="1">
      <c r="A42" s="208" t="s">
        <v>113</v>
      </c>
      <c r="B42" s="141"/>
      <c r="C42" s="142"/>
      <c r="D42" s="183"/>
      <c r="E42" s="184"/>
      <c r="F42" s="144">
        <f>IF(E42=0,0,ROUND(D42/E42/12*1000,0))</f>
        <v>0</v>
      </c>
      <c r="G42" s="141"/>
      <c r="H42" s="142"/>
      <c r="I42" s="183"/>
      <c r="J42" s="184"/>
      <c r="K42" s="144">
        <f>IF(J42=0,0,ROUND(I42/J42/12*1000,0))</f>
        <v>0</v>
      </c>
      <c r="L42" s="141"/>
      <c r="M42" s="183"/>
      <c r="N42" s="186"/>
      <c r="O42" s="141"/>
      <c r="P42" s="183"/>
      <c r="Q42" s="186"/>
      <c r="R42" s="141"/>
      <c r="S42" s="142"/>
      <c r="T42" s="183"/>
      <c r="U42" s="184"/>
      <c r="V42" s="144">
        <f>IF(U42=0,0,ROUND(T42/U42/12*1000,0))</f>
        <v>0</v>
      </c>
      <c r="W42" s="141"/>
      <c r="X42" s="183"/>
      <c r="Y42" s="186"/>
      <c r="Z42" s="141"/>
      <c r="AA42" s="183"/>
      <c r="AB42" s="186"/>
      <c r="AC42" s="145"/>
      <c r="AD42" s="141"/>
      <c r="AE42" s="183"/>
      <c r="AF42" s="187"/>
      <c r="AG42" s="141"/>
      <c r="AH42" s="188"/>
      <c r="AI42" s="189"/>
      <c r="AJ42" s="149"/>
    </row>
    <row r="43" spans="1:36" s="139" customFormat="1" ht="15">
      <c r="A43" s="210" t="s">
        <v>122</v>
      </c>
      <c r="B43" s="197">
        <f>C43+D43</f>
        <v>2503328</v>
      </c>
      <c r="C43" s="211">
        <f>C34+C37+C40</f>
        <v>8979</v>
      </c>
      <c r="D43" s="211">
        <f>D34+D37+D40</f>
        <v>2494349</v>
      </c>
      <c r="E43" s="212">
        <f>E34+E37+E40</f>
        <v>6690</v>
      </c>
      <c r="F43" s="200">
        <f>IF(E43=0,0,ROUND(D43/E43/12*1000,0))</f>
        <v>31071</v>
      </c>
      <c r="G43" s="197">
        <f>H43+I43</f>
        <v>2503628</v>
      </c>
      <c r="H43" s="211">
        <f>H34+H37+H40</f>
        <v>9279</v>
      </c>
      <c r="I43" s="211">
        <f>I34+I37+I40</f>
        <v>2494349</v>
      </c>
      <c r="J43" s="212">
        <f>J34+J37+J40</f>
        <v>6690</v>
      </c>
      <c r="K43" s="200">
        <f>IF(J43=0,0,ROUND(I43/J43/12*1000,0))</f>
        <v>31071</v>
      </c>
      <c r="L43" s="197">
        <f aca="true" t="shared" si="15" ref="L43:Q43">L34+L37+L40</f>
        <v>0</v>
      </c>
      <c r="M43" s="211">
        <f t="shared" si="15"/>
        <v>0</v>
      </c>
      <c r="N43" s="200">
        <f t="shared" si="15"/>
        <v>0</v>
      </c>
      <c r="O43" s="197">
        <f t="shared" si="15"/>
        <v>0</v>
      </c>
      <c r="P43" s="211">
        <f t="shared" si="15"/>
        <v>0</v>
      </c>
      <c r="Q43" s="200">
        <f t="shared" si="15"/>
        <v>0</v>
      </c>
      <c r="R43" s="197">
        <f>S43+T43</f>
        <v>0</v>
      </c>
      <c r="S43" s="211">
        <f>S34+S37+S40</f>
        <v>0</v>
      </c>
      <c r="T43" s="211">
        <f>T34+T37+T40</f>
        <v>0</v>
      </c>
      <c r="U43" s="212">
        <f>U34+U37+U40</f>
        <v>0</v>
      </c>
      <c r="V43" s="200">
        <f>IF(U43=0,0,ROUND(T43/U43/12*1000,0))</f>
        <v>0</v>
      </c>
      <c r="W43" s="197">
        <f aca="true" t="shared" si="16" ref="W43:AB43">W34+W37+W40</f>
        <v>0</v>
      </c>
      <c r="X43" s="211">
        <f t="shared" si="16"/>
        <v>0</v>
      </c>
      <c r="Y43" s="200">
        <f t="shared" si="16"/>
        <v>0</v>
      </c>
      <c r="Z43" s="197">
        <f t="shared" si="16"/>
        <v>0</v>
      </c>
      <c r="AA43" s="211">
        <f t="shared" si="16"/>
        <v>0</v>
      </c>
      <c r="AB43" s="200">
        <f t="shared" si="16"/>
        <v>0</v>
      </c>
      <c r="AC43" s="203"/>
      <c r="AD43" s="197">
        <f aca="true" t="shared" si="17" ref="AD43:AJ43">AD34+AD37+AD40</f>
        <v>0</v>
      </c>
      <c r="AE43" s="211">
        <f t="shared" si="17"/>
        <v>0</v>
      </c>
      <c r="AF43" s="213">
        <f t="shared" si="17"/>
        <v>0</v>
      </c>
      <c r="AG43" s="197">
        <f t="shared" si="17"/>
        <v>0</v>
      </c>
      <c r="AH43" s="214">
        <f t="shared" si="17"/>
        <v>0</v>
      </c>
      <c r="AI43" s="215">
        <f t="shared" si="17"/>
        <v>0</v>
      </c>
      <c r="AJ43" s="216">
        <f t="shared" si="17"/>
        <v>0</v>
      </c>
    </row>
    <row r="44" spans="1:36" s="139" customFormat="1" ht="15">
      <c r="A44" s="217" t="s">
        <v>111</v>
      </c>
      <c r="B44" s="150"/>
      <c r="C44" s="151"/>
      <c r="D44" s="151"/>
      <c r="E44" s="152"/>
      <c r="F44" s="153"/>
      <c r="G44" s="150"/>
      <c r="H44" s="151"/>
      <c r="I44" s="151"/>
      <c r="J44" s="152"/>
      <c r="K44" s="153"/>
      <c r="L44" s="150"/>
      <c r="M44" s="151"/>
      <c r="N44" s="153"/>
      <c r="O44" s="150"/>
      <c r="P44" s="151"/>
      <c r="Q44" s="153"/>
      <c r="R44" s="150"/>
      <c r="S44" s="151"/>
      <c r="T44" s="151"/>
      <c r="U44" s="152"/>
      <c r="V44" s="153"/>
      <c r="W44" s="150"/>
      <c r="X44" s="151"/>
      <c r="Y44" s="153"/>
      <c r="Z44" s="150"/>
      <c r="AA44" s="151"/>
      <c r="AB44" s="153"/>
      <c r="AC44" s="134"/>
      <c r="AD44" s="150"/>
      <c r="AE44" s="151"/>
      <c r="AF44" s="154"/>
      <c r="AG44" s="150"/>
      <c r="AH44" s="155"/>
      <c r="AI44" s="156"/>
      <c r="AJ44" s="157"/>
    </row>
    <row r="45" spans="1:36" s="139" customFormat="1" ht="15">
      <c r="A45" s="218" t="s">
        <v>113</v>
      </c>
      <c r="B45" s="141"/>
      <c r="C45" s="142"/>
      <c r="D45" s="142">
        <f>D36+D39+D42</f>
        <v>2025848</v>
      </c>
      <c r="E45" s="143">
        <f>E36+E39+E42</f>
        <v>5045</v>
      </c>
      <c r="F45" s="144">
        <f>IF(E45=0,0,ROUND(D45/E45/12*1000,0))</f>
        <v>33463</v>
      </c>
      <c r="G45" s="141"/>
      <c r="H45" s="142"/>
      <c r="I45" s="142">
        <f>I36+I39+I42</f>
        <v>2025788</v>
      </c>
      <c r="J45" s="143">
        <f>J36+J39+J42</f>
        <v>5045</v>
      </c>
      <c r="K45" s="144">
        <f>IF(J45=0,0,ROUND(I45/J45/12*1000,0))</f>
        <v>33462</v>
      </c>
      <c r="L45" s="141"/>
      <c r="M45" s="142">
        <f>M36+M39+M42</f>
        <v>0</v>
      </c>
      <c r="N45" s="144">
        <f>N36+N39+N42</f>
        <v>0</v>
      </c>
      <c r="O45" s="141"/>
      <c r="P45" s="142">
        <f>P36+P39+P42</f>
        <v>0</v>
      </c>
      <c r="Q45" s="144">
        <f>Q36+Q39+Q42</f>
        <v>0</v>
      </c>
      <c r="R45" s="141"/>
      <c r="S45" s="142"/>
      <c r="T45" s="142">
        <f>T36+T39+T42</f>
        <v>0</v>
      </c>
      <c r="U45" s="143">
        <f>U36+U39+U42</f>
        <v>0</v>
      </c>
      <c r="V45" s="144">
        <f>IF(U45=0,0,ROUND(T45/U45/12*1000,0))</f>
        <v>0</v>
      </c>
      <c r="W45" s="141"/>
      <c r="X45" s="142">
        <f>X36+X39+X42</f>
        <v>0</v>
      </c>
      <c r="Y45" s="144">
        <f>Y36+Y39+Y42</f>
        <v>0</v>
      </c>
      <c r="Z45" s="141"/>
      <c r="AA45" s="142">
        <f>AA36+AA39+AA42</f>
        <v>0</v>
      </c>
      <c r="AB45" s="144">
        <f>AB36+AB39+AB42</f>
        <v>0</v>
      </c>
      <c r="AC45" s="145"/>
      <c r="AD45" s="141"/>
      <c r="AE45" s="142">
        <f>AE36+AE39+AE42</f>
        <v>0</v>
      </c>
      <c r="AF45" s="146">
        <f>AF36+AF39+AF42</f>
        <v>0</v>
      </c>
      <c r="AG45" s="141"/>
      <c r="AH45" s="147">
        <f>AH36+AH39+AH42</f>
        <v>0</v>
      </c>
      <c r="AI45" s="148">
        <f>AI36+AI39+AI42</f>
        <v>0</v>
      </c>
      <c r="AJ45" s="149"/>
    </row>
    <row r="46" spans="1:36" s="139" customFormat="1" ht="15.75" thickBot="1">
      <c r="A46" s="219"/>
      <c r="B46" s="171"/>
      <c r="C46" s="172"/>
      <c r="D46" s="172"/>
      <c r="E46" s="173"/>
      <c r="F46" s="174"/>
      <c r="G46" s="171"/>
      <c r="H46" s="172"/>
      <c r="I46" s="172"/>
      <c r="J46" s="173"/>
      <c r="K46" s="174"/>
      <c r="L46" s="171"/>
      <c r="M46" s="172"/>
      <c r="N46" s="174"/>
      <c r="O46" s="171"/>
      <c r="P46" s="172"/>
      <c r="Q46" s="174"/>
      <c r="R46" s="171"/>
      <c r="S46" s="172"/>
      <c r="T46" s="172"/>
      <c r="U46" s="173"/>
      <c r="V46" s="174"/>
      <c r="W46" s="171"/>
      <c r="X46" s="172"/>
      <c r="Y46" s="174"/>
      <c r="Z46" s="171"/>
      <c r="AA46" s="172"/>
      <c r="AB46" s="174"/>
      <c r="AC46" s="175"/>
      <c r="AD46" s="171"/>
      <c r="AE46" s="172"/>
      <c r="AF46" s="176"/>
      <c r="AG46" s="171"/>
      <c r="AH46" s="177"/>
      <c r="AI46" s="178"/>
      <c r="AJ46" s="179"/>
    </row>
    <row r="47" spans="1:36" s="139" customFormat="1" ht="15.75" thickBot="1">
      <c r="A47" s="220" t="s">
        <v>123</v>
      </c>
      <c r="B47" s="221">
        <f>C47+D47</f>
        <v>735398</v>
      </c>
      <c r="C47" s="222">
        <f>'[1]312 MF'!DF41</f>
        <v>19094</v>
      </c>
      <c r="D47" s="222">
        <f>'[1]312 MF'!DG41</f>
        <v>716304</v>
      </c>
      <c r="E47" s="223">
        <f>'[1]312 MF'!DH41</f>
        <v>2197</v>
      </c>
      <c r="F47" s="224">
        <f>IF(E47=0,0,ROUND(D47/E47/12*1000,0))</f>
        <v>27170</v>
      </c>
      <c r="G47" s="221">
        <f>H47+I47</f>
        <v>735398</v>
      </c>
      <c r="H47" s="222">
        <v>19094</v>
      </c>
      <c r="I47" s="222">
        <v>716304</v>
      </c>
      <c r="J47" s="223">
        <v>2197</v>
      </c>
      <c r="K47" s="224">
        <f>IF(J47=0,0,ROUND(I47/J47/12*1000,0))</f>
        <v>27170</v>
      </c>
      <c r="L47" s="225"/>
      <c r="M47" s="222"/>
      <c r="N47" s="226"/>
      <c r="O47" s="225"/>
      <c r="P47" s="222"/>
      <c r="Q47" s="226"/>
      <c r="R47" s="221">
        <f>S47+T47</f>
        <v>0</v>
      </c>
      <c r="S47" s="222"/>
      <c r="T47" s="222"/>
      <c r="U47" s="223"/>
      <c r="V47" s="224">
        <f>IF(U47=0,0,ROUND(T47/U47/12*1000,0))</f>
        <v>0</v>
      </c>
      <c r="W47" s="225"/>
      <c r="X47" s="222"/>
      <c r="Y47" s="226"/>
      <c r="Z47" s="225"/>
      <c r="AA47" s="222"/>
      <c r="AB47" s="226"/>
      <c r="AC47" s="227"/>
      <c r="AD47" s="225"/>
      <c r="AE47" s="222"/>
      <c r="AF47" s="228"/>
      <c r="AG47" s="229"/>
      <c r="AH47" s="230"/>
      <c r="AI47" s="231"/>
      <c r="AJ47" s="232"/>
    </row>
    <row r="48" spans="1:36" s="139" customFormat="1" ht="15.75" thickBot="1">
      <c r="A48" s="233"/>
      <c r="B48" s="234"/>
      <c r="C48" s="235"/>
      <c r="D48" s="235"/>
      <c r="E48" s="236"/>
      <c r="F48" s="237"/>
      <c r="G48" s="234"/>
      <c r="H48" s="235"/>
      <c r="I48" s="235"/>
      <c r="J48" s="236"/>
      <c r="K48" s="237"/>
      <c r="L48" s="234"/>
      <c r="M48" s="235"/>
      <c r="N48" s="237"/>
      <c r="O48" s="234"/>
      <c r="P48" s="235"/>
      <c r="Q48" s="237"/>
      <c r="R48" s="234"/>
      <c r="S48" s="235"/>
      <c r="T48" s="235"/>
      <c r="U48" s="236"/>
      <c r="V48" s="237"/>
      <c r="W48" s="234"/>
      <c r="X48" s="235"/>
      <c r="Y48" s="237"/>
      <c r="Z48" s="234"/>
      <c r="AA48" s="235"/>
      <c r="AB48" s="237"/>
      <c r="AC48" s="238"/>
      <c r="AD48" s="234"/>
      <c r="AE48" s="235"/>
      <c r="AF48" s="239"/>
      <c r="AG48" s="234"/>
      <c r="AH48" s="240"/>
      <c r="AI48" s="241"/>
      <c r="AJ48" s="242"/>
    </row>
    <row r="49" spans="1:36" s="139" customFormat="1" ht="15">
      <c r="A49" s="243" t="s">
        <v>124</v>
      </c>
      <c r="B49" s="141">
        <f>C49+D49</f>
        <v>0</v>
      </c>
      <c r="C49" s="142"/>
      <c r="D49" s="142"/>
      <c r="E49" s="143"/>
      <c r="F49" s="144">
        <f>IF(E49=0,0,ROUND(D49/E49/12*1000,0))</f>
        <v>0</v>
      </c>
      <c r="G49" s="141">
        <f>H49+I49</f>
        <v>0</v>
      </c>
      <c r="H49" s="142"/>
      <c r="I49" s="142"/>
      <c r="J49" s="143"/>
      <c r="K49" s="144">
        <f>IF(J49=0,0,ROUND(I49/J49/12*1000,0))</f>
        <v>0</v>
      </c>
      <c r="L49" s="141"/>
      <c r="M49" s="142"/>
      <c r="N49" s="144"/>
      <c r="O49" s="141"/>
      <c r="P49" s="142"/>
      <c r="Q49" s="144"/>
      <c r="R49" s="141">
        <f>S49+T49</f>
        <v>0</v>
      </c>
      <c r="S49" s="142"/>
      <c r="T49" s="142"/>
      <c r="U49" s="143"/>
      <c r="V49" s="144">
        <f>IF(U49=0,0,ROUND(T49/U49/12*1000,0))</f>
        <v>0</v>
      </c>
      <c r="W49" s="141"/>
      <c r="X49" s="142"/>
      <c r="Y49" s="144"/>
      <c r="Z49" s="141"/>
      <c r="AA49" s="142"/>
      <c r="AB49" s="144"/>
      <c r="AC49" s="244">
        <f>AC55</f>
        <v>0</v>
      </c>
      <c r="AD49" s="141"/>
      <c r="AE49" s="142"/>
      <c r="AF49" s="146"/>
      <c r="AG49" s="245"/>
      <c r="AH49" s="246"/>
      <c r="AI49" s="247"/>
      <c r="AJ49" s="149"/>
    </row>
    <row r="50" spans="1:36" s="139" customFormat="1" ht="15" hidden="1">
      <c r="A50" s="248" t="s">
        <v>125</v>
      </c>
      <c r="B50" s="150"/>
      <c r="C50" s="151"/>
      <c r="D50" s="151"/>
      <c r="E50" s="152"/>
      <c r="F50" s="153"/>
      <c r="G50" s="150"/>
      <c r="H50" s="151"/>
      <c r="I50" s="151"/>
      <c r="J50" s="152"/>
      <c r="K50" s="153"/>
      <c r="L50" s="150"/>
      <c r="M50" s="151"/>
      <c r="N50" s="153"/>
      <c r="O50" s="150"/>
      <c r="P50" s="151"/>
      <c r="Q50" s="153"/>
      <c r="R50" s="150"/>
      <c r="S50" s="151"/>
      <c r="T50" s="151"/>
      <c r="U50" s="152"/>
      <c r="V50" s="153"/>
      <c r="W50" s="150"/>
      <c r="X50" s="151"/>
      <c r="Y50" s="153"/>
      <c r="Z50" s="150"/>
      <c r="AA50" s="151"/>
      <c r="AB50" s="153"/>
      <c r="AC50" s="134"/>
      <c r="AD50" s="150"/>
      <c r="AE50" s="151"/>
      <c r="AF50" s="154"/>
      <c r="AG50" s="150"/>
      <c r="AH50" s="155"/>
      <c r="AI50" s="156"/>
      <c r="AJ50" s="157"/>
    </row>
    <row r="51" spans="1:36" s="139" customFormat="1" ht="15" hidden="1">
      <c r="A51" s="248"/>
      <c r="B51" s="150"/>
      <c r="C51" s="151"/>
      <c r="D51" s="151"/>
      <c r="E51" s="152"/>
      <c r="F51" s="153"/>
      <c r="G51" s="150"/>
      <c r="H51" s="151"/>
      <c r="I51" s="151"/>
      <c r="J51" s="152"/>
      <c r="K51" s="153"/>
      <c r="L51" s="150"/>
      <c r="M51" s="151"/>
      <c r="N51" s="153"/>
      <c r="O51" s="150"/>
      <c r="P51" s="151"/>
      <c r="Q51" s="153"/>
      <c r="R51" s="150"/>
      <c r="S51" s="151"/>
      <c r="T51" s="151"/>
      <c r="U51" s="152"/>
      <c r="V51" s="153"/>
      <c r="W51" s="150"/>
      <c r="X51" s="151"/>
      <c r="Y51" s="153"/>
      <c r="Z51" s="150"/>
      <c r="AA51" s="151"/>
      <c r="AB51" s="153"/>
      <c r="AC51" s="134"/>
      <c r="AD51" s="150"/>
      <c r="AE51" s="151"/>
      <c r="AF51" s="154"/>
      <c r="AG51" s="150"/>
      <c r="AH51" s="155"/>
      <c r="AI51" s="156"/>
      <c r="AJ51" s="157"/>
    </row>
    <row r="52" spans="1:36" s="139" customFormat="1" ht="15" hidden="1">
      <c r="A52" s="248"/>
      <c r="B52" s="150"/>
      <c r="C52" s="151"/>
      <c r="D52" s="151"/>
      <c r="E52" s="152"/>
      <c r="F52" s="153"/>
      <c r="G52" s="150"/>
      <c r="H52" s="151"/>
      <c r="I52" s="151"/>
      <c r="J52" s="152"/>
      <c r="K52" s="153"/>
      <c r="L52" s="150"/>
      <c r="M52" s="151"/>
      <c r="N52" s="153"/>
      <c r="O52" s="150"/>
      <c r="P52" s="151"/>
      <c r="Q52" s="153"/>
      <c r="R52" s="150"/>
      <c r="S52" s="151"/>
      <c r="T52" s="151"/>
      <c r="U52" s="152"/>
      <c r="V52" s="153"/>
      <c r="W52" s="150"/>
      <c r="X52" s="151"/>
      <c r="Y52" s="153"/>
      <c r="Z52" s="150"/>
      <c r="AA52" s="151"/>
      <c r="AB52" s="153"/>
      <c r="AC52" s="134"/>
      <c r="AD52" s="150"/>
      <c r="AE52" s="151"/>
      <c r="AF52" s="154"/>
      <c r="AG52" s="150"/>
      <c r="AH52" s="155"/>
      <c r="AI52" s="156"/>
      <c r="AJ52" s="157"/>
    </row>
    <row r="53" spans="1:36" s="139" customFormat="1" ht="15" hidden="1">
      <c r="A53" s="248"/>
      <c r="B53" s="150"/>
      <c r="C53" s="151"/>
      <c r="D53" s="151"/>
      <c r="E53" s="152"/>
      <c r="F53" s="153"/>
      <c r="G53" s="150"/>
      <c r="H53" s="151"/>
      <c r="I53" s="151"/>
      <c r="J53" s="152"/>
      <c r="K53" s="153"/>
      <c r="L53" s="150"/>
      <c r="M53" s="151"/>
      <c r="N53" s="153"/>
      <c r="O53" s="150"/>
      <c r="P53" s="151"/>
      <c r="Q53" s="153"/>
      <c r="R53" s="150"/>
      <c r="S53" s="151"/>
      <c r="T53" s="151"/>
      <c r="U53" s="152"/>
      <c r="V53" s="153"/>
      <c r="W53" s="150"/>
      <c r="X53" s="151"/>
      <c r="Y53" s="153"/>
      <c r="Z53" s="150"/>
      <c r="AA53" s="151"/>
      <c r="AB53" s="153"/>
      <c r="AC53" s="134"/>
      <c r="AD53" s="150"/>
      <c r="AE53" s="151"/>
      <c r="AF53" s="154"/>
      <c r="AG53" s="150"/>
      <c r="AH53" s="155"/>
      <c r="AI53" s="156"/>
      <c r="AJ53" s="157"/>
    </row>
    <row r="54" spans="1:36" s="139" customFormat="1" ht="15" hidden="1">
      <c r="A54" s="158"/>
      <c r="B54" s="150"/>
      <c r="C54" s="151"/>
      <c r="D54" s="151"/>
      <c r="E54" s="152"/>
      <c r="F54" s="153"/>
      <c r="G54" s="150"/>
      <c r="H54" s="151"/>
      <c r="I54" s="151"/>
      <c r="J54" s="152"/>
      <c r="K54" s="153"/>
      <c r="L54" s="150"/>
      <c r="M54" s="151"/>
      <c r="N54" s="153"/>
      <c r="O54" s="150"/>
      <c r="P54" s="151"/>
      <c r="Q54" s="153"/>
      <c r="R54" s="150"/>
      <c r="S54" s="151"/>
      <c r="T54" s="151"/>
      <c r="U54" s="152"/>
      <c r="V54" s="153"/>
      <c r="W54" s="150"/>
      <c r="X54" s="151"/>
      <c r="Y54" s="153"/>
      <c r="Z54" s="150"/>
      <c r="AA54" s="151"/>
      <c r="AB54" s="153"/>
      <c r="AC54" s="134"/>
      <c r="AD54" s="150"/>
      <c r="AE54" s="151"/>
      <c r="AF54" s="154"/>
      <c r="AG54" s="150"/>
      <c r="AH54" s="155"/>
      <c r="AI54" s="156"/>
      <c r="AJ54" s="157"/>
    </row>
    <row r="55" spans="1:36" s="139" customFormat="1" ht="15" hidden="1">
      <c r="A55" s="158" t="s">
        <v>126</v>
      </c>
      <c r="B55" s="159">
        <f>C55+D55</f>
        <v>0</v>
      </c>
      <c r="C55" s="249"/>
      <c r="D55" s="249"/>
      <c r="E55" s="250"/>
      <c r="F55" s="162">
        <f>IF(E55=0,0,ROUND(D55/E55/12*1000,0))</f>
        <v>0</v>
      </c>
      <c r="G55" s="159">
        <f>H55+I55</f>
        <v>0</v>
      </c>
      <c r="H55" s="249"/>
      <c r="I55" s="249"/>
      <c r="J55" s="250"/>
      <c r="K55" s="162">
        <f>IF(J55=0,0,ROUND(I55/J55/12*1000,0))</f>
        <v>0</v>
      </c>
      <c r="L55" s="159"/>
      <c r="M55" s="249"/>
      <c r="N55" s="162"/>
      <c r="O55" s="159"/>
      <c r="P55" s="249"/>
      <c r="Q55" s="162"/>
      <c r="R55" s="159">
        <f>S55+T55</f>
        <v>0</v>
      </c>
      <c r="S55" s="249"/>
      <c r="T55" s="249"/>
      <c r="U55" s="250"/>
      <c r="V55" s="162">
        <f>IF(U55=0,0,ROUND(T55/U55/12*1000,0))</f>
        <v>0</v>
      </c>
      <c r="W55" s="159"/>
      <c r="X55" s="249"/>
      <c r="Y55" s="162"/>
      <c r="Z55" s="159"/>
      <c r="AA55" s="249"/>
      <c r="AB55" s="162"/>
      <c r="AC55" s="165"/>
      <c r="AD55" s="159"/>
      <c r="AE55" s="249"/>
      <c r="AF55" s="251"/>
      <c r="AG55" s="159"/>
      <c r="AH55" s="252"/>
      <c r="AI55" s="253"/>
      <c r="AJ55" s="169"/>
    </row>
    <row r="56" spans="1:36" s="139" customFormat="1" ht="15.75" thickBot="1">
      <c r="A56" s="254"/>
      <c r="B56" s="171"/>
      <c r="C56" s="172"/>
      <c r="D56" s="172"/>
      <c r="E56" s="173"/>
      <c r="F56" s="174"/>
      <c r="G56" s="171"/>
      <c r="H56" s="172"/>
      <c r="I56" s="172"/>
      <c r="J56" s="173"/>
      <c r="K56" s="174"/>
      <c r="L56" s="171"/>
      <c r="M56" s="172"/>
      <c r="N56" s="174"/>
      <c r="O56" s="171"/>
      <c r="P56" s="172"/>
      <c r="Q56" s="174"/>
      <c r="R56" s="171"/>
      <c r="S56" s="172"/>
      <c r="T56" s="172"/>
      <c r="U56" s="173"/>
      <c r="V56" s="174"/>
      <c r="W56" s="171"/>
      <c r="X56" s="172"/>
      <c r="Y56" s="174"/>
      <c r="Z56" s="171"/>
      <c r="AA56" s="172"/>
      <c r="AB56" s="174"/>
      <c r="AC56" s="134"/>
      <c r="AD56" s="171"/>
      <c r="AE56" s="172"/>
      <c r="AF56" s="176"/>
      <c r="AG56" s="171"/>
      <c r="AH56" s="177"/>
      <c r="AI56" s="178"/>
      <c r="AJ56" s="179"/>
    </row>
    <row r="57" spans="1:36" s="139" customFormat="1" ht="15.75" thickTop="1">
      <c r="A57" s="255" t="s">
        <v>127</v>
      </c>
      <c r="B57" s="256"/>
      <c r="C57" s="256"/>
      <c r="D57" s="256"/>
      <c r="E57" s="257"/>
      <c r="F57" s="258"/>
      <c r="G57" s="256"/>
      <c r="H57" s="256"/>
      <c r="I57" s="256"/>
      <c r="J57" s="257"/>
      <c r="K57" s="258"/>
      <c r="L57" s="259"/>
      <c r="M57" s="256"/>
      <c r="N57" s="258"/>
      <c r="O57" s="259"/>
      <c r="P57" s="256"/>
      <c r="Q57" s="258"/>
      <c r="R57" s="256"/>
      <c r="S57" s="256"/>
      <c r="T57" s="256"/>
      <c r="U57" s="257"/>
      <c r="V57" s="258"/>
      <c r="W57" s="259"/>
      <c r="X57" s="256"/>
      <c r="Y57" s="258"/>
      <c r="Z57" s="259"/>
      <c r="AA57" s="256"/>
      <c r="AB57" s="258"/>
      <c r="AC57" s="260"/>
      <c r="AD57" s="259"/>
      <c r="AE57" s="256"/>
      <c r="AF57" s="261"/>
      <c r="AG57" s="259"/>
      <c r="AH57" s="262"/>
      <c r="AI57" s="263"/>
      <c r="AJ57" s="264"/>
    </row>
    <row r="58" spans="1:36" s="139" customFormat="1" ht="15.75">
      <c r="A58" s="265" t="s">
        <v>128</v>
      </c>
      <c r="B58" s="151">
        <f>IF(B13+B49=C58+D58,B13+B49,"chyba")</f>
        <v>8565305</v>
      </c>
      <c r="C58" s="151">
        <f>C13+C49</f>
        <v>59757</v>
      </c>
      <c r="D58" s="151">
        <f>D13+D49</f>
        <v>8505548</v>
      </c>
      <c r="E58" s="152">
        <f>E13+E49</f>
        <v>25912</v>
      </c>
      <c r="F58" s="153">
        <f>IF(E58=0,0,ROUND(D58/E58/12*1000,0))</f>
        <v>27354</v>
      </c>
      <c r="G58" s="151">
        <f>IF(G13+G49=H58+I58,G13+G49,"chyba")</f>
        <v>8659607</v>
      </c>
      <c r="H58" s="151">
        <f>H13+H49</f>
        <v>61808</v>
      </c>
      <c r="I58" s="151">
        <f>I13+I49</f>
        <v>8597799</v>
      </c>
      <c r="J58" s="152">
        <f>J13+J49</f>
        <v>25913</v>
      </c>
      <c r="K58" s="153">
        <f>IF(J58=0,0,ROUND(I58/J58/12*1000,0))</f>
        <v>27650</v>
      </c>
      <c r="L58" s="150">
        <f aca="true" t="shared" si="18" ref="L58:Q58">L13+L49</f>
        <v>0</v>
      </c>
      <c r="M58" s="151">
        <f t="shared" si="18"/>
        <v>0</v>
      </c>
      <c r="N58" s="153">
        <f t="shared" si="18"/>
        <v>0</v>
      </c>
      <c r="O58" s="150">
        <f t="shared" si="18"/>
        <v>0</v>
      </c>
      <c r="P58" s="151">
        <f t="shared" si="18"/>
        <v>0</v>
      </c>
      <c r="Q58" s="153">
        <f t="shared" si="18"/>
        <v>0</v>
      </c>
      <c r="R58" s="151">
        <f>IF(R13+R49=S58+T58,R13+R49,"chyba")</f>
        <v>4722672.84</v>
      </c>
      <c r="S58" s="151">
        <f>S13+S49</f>
        <v>13451.54</v>
      </c>
      <c r="T58" s="151">
        <f>T13+T49</f>
        <v>4709221.3</v>
      </c>
      <c r="U58" s="152">
        <f>U13+U49</f>
        <v>15330</v>
      </c>
      <c r="V58" s="153">
        <f>IF(U58=0,0,ROUND(T58/U58/12*1000,0))</f>
        <v>25599</v>
      </c>
      <c r="W58" s="150">
        <f aca="true" t="shared" si="19" ref="W58:AB58">W13+W49</f>
        <v>0</v>
      </c>
      <c r="X58" s="151">
        <f t="shared" si="19"/>
        <v>0</v>
      </c>
      <c r="Y58" s="153">
        <f t="shared" si="19"/>
        <v>0</v>
      </c>
      <c r="Z58" s="150">
        <f t="shared" si="19"/>
        <v>0</v>
      </c>
      <c r="AA58" s="151">
        <f t="shared" si="19"/>
        <v>0</v>
      </c>
      <c r="AB58" s="153">
        <f t="shared" si="19"/>
        <v>0</v>
      </c>
      <c r="AC58" s="134">
        <f>AC49</f>
        <v>0</v>
      </c>
      <c r="AD58" s="150">
        <f aca="true" t="shared" si="20" ref="AD58:AJ58">AD13+AD49</f>
        <v>0</v>
      </c>
      <c r="AE58" s="151">
        <f t="shared" si="20"/>
        <v>0</v>
      </c>
      <c r="AF58" s="154">
        <f t="shared" si="20"/>
        <v>0</v>
      </c>
      <c r="AG58" s="150">
        <f t="shared" si="20"/>
        <v>0</v>
      </c>
      <c r="AH58" s="155">
        <f t="shared" si="20"/>
        <v>0</v>
      </c>
      <c r="AI58" s="156">
        <f t="shared" si="20"/>
        <v>0</v>
      </c>
      <c r="AJ58" s="157">
        <f t="shared" si="20"/>
        <v>0</v>
      </c>
    </row>
    <row r="59" spans="1:36" s="139" customFormat="1" ht="15.75" thickBot="1">
      <c r="A59" s="266"/>
      <c r="B59" s="267"/>
      <c r="C59" s="267"/>
      <c r="D59" s="267"/>
      <c r="E59" s="268"/>
      <c r="F59" s="269"/>
      <c r="G59" s="267"/>
      <c r="H59" s="267"/>
      <c r="I59" s="267"/>
      <c r="J59" s="268"/>
      <c r="K59" s="269"/>
      <c r="L59" s="270"/>
      <c r="M59" s="267"/>
      <c r="N59" s="269"/>
      <c r="O59" s="270"/>
      <c r="P59" s="267"/>
      <c r="Q59" s="269"/>
      <c r="R59" s="267"/>
      <c r="S59" s="267"/>
      <c r="T59" s="267"/>
      <c r="U59" s="268"/>
      <c r="V59" s="269"/>
      <c r="W59" s="270"/>
      <c r="X59" s="267"/>
      <c r="Y59" s="269"/>
      <c r="Z59" s="270"/>
      <c r="AA59" s="267"/>
      <c r="AB59" s="269"/>
      <c r="AC59" s="271"/>
      <c r="AD59" s="270"/>
      <c r="AE59" s="267"/>
      <c r="AF59" s="272"/>
      <c r="AG59" s="270"/>
      <c r="AH59" s="273"/>
      <c r="AI59" s="274"/>
      <c r="AJ59" s="275"/>
    </row>
    <row r="60" spans="1:37" ht="13.5" thickTop="1">
      <c r="A60" s="276"/>
      <c r="B60" s="277"/>
      <c r="C60" s="277"/>
      <c r="D60" s="277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</row>
    <row r="61" spans="1:37" s="281" customFormat="1" ht="12.75" hidden="1">
      <c r="A61" s="276"/>
      <c r="B61" s="278">
        <f>'[1]312 MF'!DE75</f>
        <v>8565305</v>
      </c>
      <c r="C61" s="278">
        <f>'[1]312 MF'!DF75</f>
        <v>59757</v>
      </c>
      <c r="D61" s="278">
        <f>'[1]312 MF'!DG75</f>
        <v>8505548</v>
      </c>
      <c r="E61" s="279">
        <f>'[1]312 MF'!DH75</f>
        <v>25912</v>
      </c>
      <c r="F61" s="279">
        <f>'[1]312 MF'!DI75</f>
        <v>27353.954409797265</v>
      </c>
      <c r="G61" s="279">
        <f>'[2]SUMSchv.o.'!FF18</f>
        <v>8659607</v>
      </c>
      <c r="H61" s="278">
        <f>'[2]SUMSchv.o.'!FG18</f>
        <v>61808</v>
      </c>
      <c r="I61" s="278">
        <f>'[2]SUMSchv.o.'!FH18</f>
        <v>8597799</v>
      </c>
      <c r="J61" s="279">
        <f>'[2]SUMSchv.o.'!FI18</f>
        <v>25917</v>
      </c>
      <c r="K61" s="279">
        <f>'[2]SUMSchv.o.'!FJ18</f>
        <v>25913</v>
      </c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</row>
    <row r="62" spans="1:37" s="281" customFormat="1" ht="12.75" hidden="1">
      <c r="A62" s="276"/>
      <c r="B62" s="278">
        <f aca="true" t="shared" si="21" ref="B62:I62">B58-B61</f>
        <v>0</v>
      </c>
      <c r="C62" s="278">
        <f t="shared" si="21"/>
        <v>0</v>
      </c>
      <c r="D62" s="278">
        <f t="shared" si="21"/>
        <v>0</v>
      </c>
      <c r="E62" s="279">
        <f t="shared" si="21"/>
        <v>0</v>
      </c>
      <c r="F62" s="279">
        <f t="shared" si="21"/>
        <v>0.04559020273518399</v>
      </c>
      <c r="G62" s="278">
        <f t="shared" si="21"/>
        <v>0</v>
      </c>
      <c r="H62" s="278">
        <f t="shared" si="21"/>
        <v>0</v>
      </c>
      <c r="I62" s="278">
        <f t="shared" si="21"/>
        <v>0</v>
      </c>
      <c r="J62" s="278"/>
      <c r="K62" s="278">
        <f>J58-K61</f>
        <v>0</v>
      </c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</row>
    <row r="63" spans="1:37" ht="12.75">
      <c r="A63" s="276"/>
      <c r="B63" s="277"/>
      <c r="C63" s="277"/>
      <c r="D63" s="277"/>
      <c r="E63" s="277"/>
      <c r="F63" s="277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</row>
    <row r="64" spans="1:37" ht="15">
      <c r="A64" s="276"/>
      <c r="B64" s="282" t="s">
        <v>129</v>
      </c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</row>
    <row r="65" spans="2:37" s="283" customFormat="1" ht="15" customHeight="1">
      <c r="B65" s="284" t="s">
        <v>130</v>
      </c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F65" s="284"/>
      <c r="AG65" s="284"/>
      <c r="AH65" s="284"/>
      <c r="AI65" s="284"/>
      <c r="AJ65" s="284"/>
      <c r="AK65" s="284"/>
    </row>
    <row r="66" spans="2:37" s="283" customFormat="1" ht="15" customHeight="1">
      <c r="B66" s="284" t="s">
        <v>131</v>
      </c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F66" s="284"/>
      <c r="AG66" s="284"/>
      <c r="AH66" s="284"/>
      <c r="AI66" s="284"/>
      <c r="AJ66" s="284"/>
      <c r="AK66" s="284"/>
    </row>
    <row r="67" spans="2:37" s="283" customFormat="1" ht="15" customHeight="1">
      <c r="B67" s="284" t="s">
        <v>132</v>
      </c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5"/>
      <c r="AG67" s="284"/>
      <c r="AH67" s="284"/>
      <c r="AI67" s="284"/>
      <c r="AJ67" s="286"/>
      <c r="AK67" s="284"/>
    </row>
    <row r="68" spans="2:37" s="283" customFormat="1" ht="15" customHeight="1">
      <c r="B68" s="284" t="s">
        <v>133</v>
      </c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F68" s="285"/>
      <c r="AG68" s="284"/>
      <c r="AH68" s="284"/>
      <c r="AI68" s="284"/>
      <c r="AJ68" s="285"/>
      <c r="AK68" s="284"/>
    </row>
    <row r="69" spans="2:37" s="283" customFormat="1" ht="15" customHeight="1">
      <c r="B69" s="284" t="s">
        <v>134</v>
      </c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F69" s="287"/>
      <c r="AG69" s="284"/>
      <c r="AH69" s="284"/>
      <c r="AI69" s="284"/>
      <c r="AJ69" s="287"/>
      <c r="AK69" s="284"/>
    </row>
    <row r="70" spans="2:37" s="283" customFormat="1" ht="15" customHeight="1">
      <c r="B70" s="284" t="s">
        <v>135</v>
      </c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F70" s="287"/>
      <c r="AG70" s="284"/>
      <c r="AH70" s="284"/>
      <c r="AI70" s="284"/>
      <c r="AJ70" s="287"/>
      <c r="AK70" s="284"/>
    </row>
    <row r="71" spans="2:37" s="283" customFormat="1" ht="15" customHeight="1">
      <c r="B71" s="288" t="s">
        <v>136</v>
      </c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F71" s="287"/>
      <c r="AG71" s="284"/>
      <c r="AH71" s="284"/>
      <c r="AI71" s="284"/>
      <c r="AJ71" s="287"/>
      <c r="AK71" s="284"/>
    </row>
    <row r="72" spans="1:37" s="283" customFormat="1" ht="15" customHeight="1">
      <c r="A72" s="289"/>
      <c r="B72" s="288" t="s">
        <v>137</v>
      </c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F72" s="287"/>
      <c r="AG72" s="284"/>
      <c r="AH72" s="284"/>
      <c r="AI72" s="284"/>
      <c r="AJ72" s="287"/>
      <c r="AK72" s="284"/>
    </row>
    <row r="73" spans="1:37" s="283" customFormat="1" ht="15" customHeight="1">
      <c r="A73" s="289"/>
      <c r="B73" s="284" t="s">
        <v>138</v>
      </c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F73" s="287"/>
      <c r="AG73" s="284"/>
      <c r="AH73" s="284"/>
      <c r="AI73" s="284"/>
      <c r="AJ73" s="287"/>
      <c r="AK73" s="284"/>
    </row>
    <row r="74" spans="2:37" s="283" customFormat="1" ht="15" customHeight="1">
      <c r="B74" s="284" t="s">
        <v>139</v>
      </c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F74" s="287"/>
      <c r="AG74" s="284"/>
      <c r="AH74" s="284"/>
      <c r="AI74" s="284"/>
      <c r="AJ74" s="287"/>
      <c r="AK74" s="284"/>
    </row>
    <row r="75" spans="2:37" s="283" customFormat="1" ht="15" customHeight="1">
      <c r="B75" s="284" t="s">
        <v>140</v>
      </c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F75" s="287"/>
      <c r="AG75" s="284"/>
      <c r="AH75" s="284"/>
      <c r="AI75" s="284"/>
      <c r="AJ75" s="287"/>
      <c r="AK75" s="284"/>
    </row>
    <row r="76" spans="1:36" s="289" customFormat="1" ht="15" customHeight="1">
      <c r="A76" s="283"/>
      <c r="B76" s="284" t="s">
        <v>141</v>
      </c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</row>
    <row r="77" spans="1:36" s="289" customFormat="1" ht="15" customHeight="1">
      <c r="A77" s="283"/>
      <c r="B77" s="284" t="s">
        <v>142</v>
      </c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</row>
    <row r="78" spans="1:36" s="289" customFormat="1" ht="15" customHeight="1">
      <c r="A78" s="283"/>
      <c r="B78" s="284" t="s">
        <v>143</v>
      </c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</row>
    <row r="79" spans="1:37" s="283" customFormat="1" ht="15" customHeight="1">
      <c r="A79" s="284"/>
      <c r="B79" s="284" t="s">
        <v>144</v>
      </c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F79" s="284"/>
      <c r="AG79" s="284"/>
      <c r="AH79" s="284"/>
      <c r="AI79" s="284"/>
      <c r="AJ79" s="284"/>
      <c r="AK79" s="284"/>
    </row>
    <row r="80" spans="1:37" s="283" customFormat="1" ht="15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F80" s="284"/>
      <c r="AG80" s="284"/>
      <c r="AH80" s="284"/>
      <c r="AI80" s="284"/>
      <c r="AJ80" s="284"/>
      <c r="AK80" s="284"/>
    </row>
    <row r="81" s="283" customFormat="1" ht="15" customHeight="1">
      <c r="B81" s="283" t="s">
        <v>145</v>
      </c>
    </row>
    <row r="82" s="283" customFormat="1" ht="15" customHeight="1">
      <c r="B82" s="284" t="s">
        <v>146</v>
      </c>
    </row>
    <row r="83" spans="2:37" s="283" customFormat="1" ht="15" customHeight="1">
      <c r="B83" s="284" t="s">
        <v>147</v>
      </c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</row>
    <row r="84" spans="2:37" s="283" customFormat="1" ht="15" customHeight="1">
      <c r="B84" s="284" t="s">
        <v>148</v>
      </c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</row>
    <row r="85" s="283" customFormat="1" ht="15" customHeight="1">
      <c r="B85" s="283" t="s">
        <v>149</v>
      </c>
    </row>
    <row r="86" spans="1:2" s="283" customFormat="1" ht="15" customHeight="1">
      <c r="A86" s="289"/>
      <c r="B86" s="283" t="s">
        <v>150</v>
      </c>
    </row>
    <row r="87" s="283" customFormat="1" ht="15" customHeight="1">
      <c r="A87" s="289"/>
    </row>
    <row r="88" spans="1:15" s="283" customFormat="1" ht="15" customHeight="1">
      <c r="A88" s="80"/>
      <c r="B88" s="283" t="s">
        <v>151</v>
      </c>
      <c r="H88" s="283" t="s">
        <v>152</v>
      </c>
      <c r="O88" s="283" t="s">
        <v>153</v>
      </c>
    </row>
    <row r="89" spans="1:8" s="283" customFormat="1" ht="15" customHeight="1">
      <c r="A89" s="80"/>
      <c r="B89" s="283" t="s">
        <v>154</v>
      </c>
      <c r="G89" s="284"/>
      <c r="H89" s="283" t="s">
        <v>154</v>
      </c>
    </row>
    <row r="90" spans="1:3" s="289" customFormat="1" ht="12.75">
      <c r="A90" s="80"/>
      <c r="B90" s="80"/>
      <c r="C90" s="80"/>
    </row>
    <row r="91" spans="1:3" s="289" customFormat="1" ht="12.75">
      <c r="A91" s="80"/>
      <c r="B91" s="80"/>
      <c r="C91" s="80"/>
    </row>
    <row r="92" spans="4:36" ht="15">
      <c r="D92" s="291"/>
      <c r="E92" s="292"/>
      <c r="F92" s="291"/>
      <c r="G92" s="291"/>
      <c r="H92" s="292"/>
      <c r="I92" s="291"/>
      <c r="J92" s="291"/>
      <c r="K92" s="292"/>
      <c r="L92" s="292"/>
      <c r="M92" s="292"/>
      <c r="N92" s="292"/>
      <c r="O92" s="292"/>
      <c r="P92" s="292"/>
      <c r="Q92" s="292"/>
      <c r="R92" s="291"/>
      <c r="S92" s="291"/>
      <c r="T92" s="292"/>
      <c r="U92" s="291"/>
      <c r="V92" s="291"/>
      <c r="W92" s="292"/>
      <c r="X92" s="291"/>
      <c r="Y92" s="291"/>
      <c r="Z92" s="292"/>
      <c r="AA92" s="292"/>
      <c r="AB92" s="292"/>
      <c r="AC92" s="291"/>
      <c r="AD92" s="292"/>
      <c r="AE92" s="291"/>
      <c r="AF92" s="291"/>
      <c r="AG92" s="291"/>
      <c r="AH92" s="291"/>
      <c r="AI92" s="291"/>
      <c r="AJ92" s="291"/>
    </row>
    <row r="94" spans="4:36" ht="15">
      <c r="D94" s="291"/>
      <c r="E94" s="292"/>
      <c r="F94" s="291"/>
      <c r="G94" s="291"/>
      <c r="H94" s="292"/>
      <c r="I94" s="291"/>
      <c r="J94" s="291"/>
      <c r="K94" s="292"/>
      <c r="L94" s="292"/>
      <c r="M94" s="292"/>
      <c r="N94" s="292"/>
      <c r="O94" s="292"/>
      <c r="P94" s="292"/>
      <c r="Q94" s="292"/>
      <c r="R94" s="291"/>
      <c r="S94" s="291"/>
      <c r="T94" s="292"/>
      <c r="U94" s="291"/>
      <c r="V94" s="291"/>
      <c r="W94" s="292"/>
      <c r="X94" s="291"/>
      <c r="Y94" s="291"/>
      <c r="Z94" s="292"/>
      <c r="AA94" s="292"/>
      <c r="AB94" s="292"/>
      <c r="AC94" s="291"/>
      <c r="AD94" s="292"/>
      <c r="AE94" s="291"/>
      <c r="AF94" s="291"/>
      <c r="AG94" s="291"/>
      <c r="AH94" s="291"/>
      <c r="AI94" s="291"/>
      <c r="AJ94" s="293"/>
    </row>
    <row r="95" spans="2:36" ht="15">
      <c r="B95" s="292"/>
      <c r="C95" s="291"/>
      <c r="D95" s="291"/>
      <c r="E95" s="292"/>
      <c r="F95" s="291"/>
      <c r="G95" s="291"/>
      <c r="H95" s="292"/>
      <c r="I95" s="291"/>
      <c r="J95" s="291"/>
      <c r="K95" s="292"/>
      <c r="L95" s="292"/>
      <c r="M95" s="292"/>
      <c r="N95" s="292"/>
      <c r="O95" s="292"/>
      <c r="P95" s="292"/>
      <c r="Q95" s="292"/>
      <c r="R95" s="291"/>
      <c r="S95" s="291"/>
      <c r="T95" s="292"/>
      <c r="U95" s="291"/>
      <c r="V95" s="291"/>
      <c r="W95" s="292"/>
      <c r="X95" s="291"/>
      <c r="Y95" s="291"/>
      <c r="Z95" s="292"/>
      <c r="AA95" s="292"/>
      <c r="AB95" s="292"/>
      <c r="AC95" s="291"/>
      <c r="AD95" s="292"/>
      <c r="AE95" s="291"/>
      <c r="AF95" s="291"/>
      <c r="AG95" s="291"/>
      <c r="AH95" s="291"/>
      <c r="AI95" s="291"/>
      <c r="AJ95" s="293"/>
    </row>
    <row r="96" spans="29:36" ht="15">
      <c r="AC96" s="291"/>
      <c r="AD96" s="292"/>
      <c r="AE96" s="291"/>
      <c r="AF96" s="291"/>
      <c r="AJ96" s="293"/>
    </row>
    <row r="97" spans="2:36" ht="15">
      <c r="B97" s="292"/>
      <c r="C97" s="291"/>
      <c r="D97" s="291"/>
      <c r="E97" s="292"/>
      <c r="F97" s="291"/>
      <c r="G97" s="291"/>
      <c r="H97" s="292"/>
      <c r="I97" s="291"/>
      <c r="J97" s="291"/>
      <c r="K97" s="292"/>
      <c r="L97" s="292"/>
      <c r="M97" s="292"/>
      <c r="N97" s="292"/>
      <c r="O97" s="292"/>
      <c r="P97" s="292"/>
      <c r="Q97" s="292"/>
      <c r="R97" s="291"/>
      <c r="S97" s="291"/>
      <c r="T97" s="292"/>
      <c r="U97" s="291"/>
      <c r="V97" s="291"/>
      <c r="W97" s="292"/>
      <c r="X97" s="291"/>
      <c r="Y97" s="291"/>
      <c r="Z97" s="292"/>
      <c r="AA97" s="292"/>
      <c r="AB97" s="292"/>
      <c r="AC97" s="291"/>
      <c r="AD97" s="292"/>
      <c r="AE97" s="291"/>
      <c r="AF97" s="291"/>
      <c r="AG97" s="291"/>
      <c r="AH97" s="291"/>
      <c r="AI97" s="291"/>
      <c r="AJ97" s="293"/>
    </row>
    <row r="98" spans="2:36" ht="15"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294"/>
      <c r="AH98" s="294"/>
      <c r="AI98" s="294"/>
      <c r="AJ98" s="294"/>
    </row>
  </sheetData>
  <mergeCells count="6">
    <mergeCell ref="Z5:AB5"/>
    <mergeCell ref="AG5:AI5"/>
    <mergeCell ref="B3:Q3"/>
    <mergeCell ref="L5:N5"/>
    <mergeCell ref="O5:Q5"/>
    <mergeCell ref="W5:Y5"/>
  </mergeCells>
  <printOptions/>
  <pageMargins left="0.75" right="0.75" top="0.39" bottom="0.29" header="0.28" footer="0.21"/>
  <pageSetup fitToWidth="3" horizontalDpi="600" verticalDpi="600" orientation="landscape" paperSize="9" scale="52" r:id="rId1"/>
  <headerFooter alignWithMargins="0">
    <oddHeader>&amp;RPříloha č. 5 k č.j. 48/16 511/2010-482</oddHead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workbookViewId="0" topLeftCell="A1">
      <selection activeCell="N9" sqref="N9"/>
    </sheetView>
  </sheetViews>
  <sheetFormatPr defaultColWidth="9.125" defaultRowHeight="12.75"/>
  <cols>
    <col min="1" max="1" width="9.00390625" style="0" customWidth="1"/>
    <col min="2" max="2" width="14.00390625" style="0" customWidth="1"/>
    <col min="3" max="3" width="11.00390625" style="0" customWidth="1"/>
    <col min="4" max="4" width="10.75390625" style="0" customWidth="1"/>
    <col min="5" max="5" width="11.00390625" style="0" customWidth="1"/>
    <col min="6" max="6" width="10.75390625" style="0" customWidth="1"/>
    <col min="7" max="7" width="12.875" style="0" customWidth="1"/>
    <col min="8" max="8" width="0.37109375" style="0" customWidth="1"/>
    <col min="9" max="9" width="9.625" style="0" customWidth="1"/>
    <col min="10" max="10" width="10.125" style="0" bestFit="1" customWidth="1"/>
    <col min="11" max="11" width="9.375" style="0" customWidth="1"/>
    <col min="12" max="12" width="9.625" style="0" customWidth="1"/>
    <col min="13" max="13" width="11.25390625" style="0" customWidth="1"/>
  </cols>
  <sheetData>
    <row r="2" ht="20.25" customHeight="1">
      <c r="D2" s="642" t="s">
        <v>258</v>
      </c>
    </row>
    <row r="3" spans="1:8" ht="18">
      <c r="A3" s="643" t="s">
        <v>259</v>
      </c>
      <c r="B3" s="644" t="s">
        <v>260</v>
      </c>
      <c r="C3" s="645"/>
      <c r="D3" s="645"/>
      <c r="E3" s="645"/>
      <c r="F3" s="645"/>
      <c r="G3" s="645"/>
      <c r="H3" s="645"/>
    </row>
    <row r="4" spans="1:8" ht="18">
      <c r="A4" s="643" t="s">
        <v>261</v>
      </c>
      <c r="B4" s="646" t="s">
        <v>262</v>
      </c>
      <c r="C4" s="645"/>
      <c r="G4" s="645"/>
      <c r="H4" s="645"/>
    </row>
    <row r="5" spans="1:13" ht="15.75" customHeight="1" thickBot="1">
      <c r="A5" s="647" t="s">
        <v>263</v>
      </c>
      <c r="B5" s="647" t="s">
        <v>264</v>
      </c>
      <c r="C5" s="648"/>
      <c r="D5" s="648"/>
      <c r="E5" s="648"/>
      <c r="F5" s="648"/>
      <c r="G5" s="649"/>
      <c r="H5" s="649"/>
      <c r="M5" s="649" t="s">
        <v>105</v>
      </c>
    </row>
    <row r="6" spans="1:13" ht="28.5" customHeight="1">
      <c r="A6" s="984" t="s">
        <v>265</v>
      </c>
      <c r="B6" s="985"/>
      <c r="C6" s="988" t="s">
        <v>266</v>
      </c>
      <c r="D6" s="989"/>
      <c r="E6" s="989"/>
      <c r="F6" s="990"/>
      <c r="G6" s="650" t="s">
        <v>267</v>
      </c>
      <c r="H6" s="651"/>
      <c r="I6" s="988" t="s">
        <v>268</v>
      </c>
      <c r="J6" s="989"/>
      <c r="K6" s="989"/>
      <c r="L6" s="990"/>
      <c r="M6" s="650" t="s">
        <v>267</v>
      </c>
    </row>
    <row r="7" spans="1:13" ht="35.25" customHeight="1">
      <c r="A7" s="986"/>
      <c r="B7" s="987"/>
      <c r="C7" s="652" t="s">
        <v>184</v>
      </c>
      <c r="D7" s="652" t="s">
        <v>186</v>
      </c>
      <c r="E7" s="652" t="s">
        <v>187</v>
      </c>
      <c r="F7" s="653" t="s">
        <v>188</v>
      </c>
      <c r="G7" s="654" t="s">
        <v>269</v>
      </c>
      <c r="H7" s="655"/>
      <c r="I7" s="652" t="s">
        <v>184</v>
      </c>
      <c r="J7" s="652" t="s">
        <v>186</v>
      </c>
      <c r="K7" s="652" t="s">
        <v>187</v>
      </c>
      <c r="L7" s="653" t="s">
        <v>188</v>
      </c>
      <c r="M7" s="654" t="s">
        <v>269</v>
      </c>
    </row>
    <row r="8" spans="1:13" ht="16.5" customHeight="1">
      <c r="A8" s="991" t="s">
        <v>270</v>
      </c>
      <c r="B8" s="992"/>
      <c r="C8" s="656">
        <v>1</v>
      </c>
      <c r="D8" s="656">
        <v>2</v>
      </c>
      <c r="E8" s="656">
        <v>3</v>
      </c>
      <c r="F8" s="656">
        <v>4</v>
      </c>
      <c r="G8" s="657" t="s">
        <v>271</v>
      </c>
      <c r="H8" s="658"/>
      <c r="I8" s="656">
        <v>6</v>
      </c>
      <c r="J8" s="656">
        <v>7</v>
      </c>
      <c r="K8" s="656">
        <v>8</v>
      </c>
      <c r="L8" s="656">
        <v>9</v>
      </c>
      <c r="M8" s="657" t="s">
        <v>272</v>
      </c>
    </row>
    <row r="9" spans="1:13" ht="40.5" customHeight="1">
      <c r="A9" s="993" t="s">
        <v>273</v>
      </c>
      <c r="B9" s="994"/>
      <c r="C9" s="659">
        <f>C10+C11</f>
        <v>0</v>
      </c>
      <c r="D9" s="659">
        <f>D10+D11</f>
        <v>0</v>
      </c>
      <c r="E9" s="659">
        <f>E10+E11</f>
        <v>0</v>
      </c>
      <c r="F9" s="659">
        <f>F10+F11</f>
        <v>0</v>
      </c>
      <c r="G9" s="660">
        <f>C9+D9+E9+F9</f>
        <v>0</v>
      </c>
      <c r="H9" s="661"/>
      <c r="I9" s="659">
        <f>I10+I11</f>
        <v>0</v>
      </c>
      <c r="J9" s="659">
        <f>J10+J11</f>
        <v>0</v>
      </c>
      <c r="K9" s="659">
        <f>K10+K11</f>
        <v>0</v>
      </c>
      <c r="L9" s="659">
        <f>L10+L11</f>
        <v>0</v>
      </c>
      <c r="M9" s="660">
        <f>I9+J9+K9+L9</f>
        <v>0</v>
      </c>
    </row>
    <row r="10" spans="1:13" ht="22.5" customHeight="1">
      <c r="A10" s="995" t="s">
        <v>274</v>
      </c>
      <c r="B10" s="996"/>
      <c r="C10" s="662"/>
      <c r="D10" s="662"/>
      <c r="E10" s="662"/>
      <c r="F10" s="662"/>
      <c r="G10" s="663">
        <f aca="true" t="shared" si="0" ref="G10:G36">C10+D10+E10+F10</f>
        <v>0</v>
      </c>
      <c r="H10" s="664"/>
      <c r="I10" s="662"/>
      <c r="J10" s="662"/>
      <c r="K10" s="662"/>
      <c r="L10" s="662"/>
      <c r="M10" s="663">
        <f aca="true" t="shared" si="1" ref="M10:M36">I10+J10+K10+L10</f>
        <v>0</v>
      </c>
    </row>
    <row r="11" spans="1:13" ht="22.5" customHeight="1">
      <c r="A11" s="995" t="s">
        <v>275</v>
      </c>
      <c r="B11" s="996"/>
      <c r="C11" s="662"/>
      <c r="D11" s="662"/>
      <c r="E11" s="662"/>
      <c r="F11" s="662"/>
      <c r="G11" s="663">
        <f t="shared" si="0"/>
        <v>0</v>
      </c>
      <c r="H11" s="664"/>
      <c r="I11" s="662"/>
      <c r="J11" s="662"/>
      <c r="K11" s="662"/>
      <c r="L11" s="662"/>
      <c r="M11" s="663">
        <f t="shared" si="1"/>
        <v>0</v>
      </c>
    </row>
    <row r="12" spans="1:13" ht="20.25" customHeight="1">
      <c r="A12" s="997" t="s">
        <v>276</v>
      </c>
      <c r="B12" s="998"/>
      <c r="C12" s="659">
        <f>C13+C14</f>
        <v>0</v>
      </c>
      <c r="D12" s="659">
        <f>D13+D14</f>
        <v>0</v>
      </c>
      <c r="E12" s="659">
        <f>E13+E14</f>
        <v>0</v>
      </c>
      <c r="F12" s="659">
        <f>F13+F14</f>
        <v>0</v>
      </c>
      <c r="G12" s="660">
        <f t="shared" si="0"/>
        <v>0</v>
      </c>
      <c r="H12" s="661"/>
      <c r="I12" s="659">
        <f>I13+I14</f>
        <v>0</v>
      </c>
      <c r="J12" s="659">
        <f>J13+J14</f>
        <v>0</v>
      </c>
      <c r="K12" s="659">
        <f>K13+K14</f>
        <v>0</v>
      </c>
      <c r="L12" s="659">
        <f>L13+L14</f>
        <v>0</v>
      </c>
      <c r="M12" s="660">
        <f t="shared" si="1"/>
        <v>0</v>
      </c>
    </row>
    <row r="13" spans="1:13" ht="20.25" customHeight="1">
      <c r="A13" s="995" t="s">
        <v>274</v>
      </c>
      <c r="B13" s="996"/>
      <c r="C13" s="662"/>
      <c r="D13" s="662"/>
      <c r="E13" s="662"/>
      <c r="F13" s="662"/>
      <c r="G13" s="663">
        <f t="shared" si="0"/>
        <v>0</v>
      </c>
      <c r="H13" s="664"/>
      <c r="I13" s="662"/>
      <c r="J13" s="662"/>
      <c r="K13" s="662"/>
      <c r="L13" s="662"/>
      <c r="M13" s="663">
        <f t="shared" si="1"/>
        <v>0</v>
      </c>
    </row>
    <row r="14" spans="1:13" ht="20.25" customHeight="1">
      <c r="A14" s="995" t="s">
        <v>275</v>
      </c>
      <c r="B14" s="996"/>
      <c r="C14" s="662"/>
      <c r="D14" s="662"/>
      <c r="E14" s="662"/>
      <c r="F14" s="662"/>
      <c r="G14" s="663">
        <f t="shared" si="0"/>
        <v>0</v>
      </c>
      <c r="H14" s="664"/>
      <c r="I14" s="662"/>
      <c r="J14" s="662"/>
      <c r="K14" s="662"/>
      <c r="L14" s="662"/>
      <c r="M14" s="663">
        <f t="shared" si="1"/>
        <v>0</v>
      </c>
    </row>
    <row r="15" spans="1:13" ht="20.25" customHeight="1">
      <c r="A15" s="993" t="s">
        <v>277</v>
      </c>
      <c r="B15" s="999"/>
      <c r="C15" s="659">
        <f>C16+C17+C18+C19+C20+C21+C22+C23+C24+C25+C26</f>
        <v>0</v>
      </c>
      <c r="D15" s="659">
        <f>D16+D17+D18+D19+D20+D21+D22+D23+D24+D25+D26</f>
        <v>56119.7</v>
      </c>
      <c r="E15" s="659">
        <f>E16+E17+E18+E19+E20+E21+E22+E23+E24+E25+E26</f>
        <v>0</v>
      </c>
      <c r="F15" s="659">
        <f>F16+F17+F18+F19+F20+F21+F22+F23+F24+F25+F26</f>
        <v>0</v>
      </c>
      <c r="G15" s="660">
        <f t="shared" si="0"/>
        <v>56119.7</v>
      </c>
      <c r="H15" s="661"/>
      <c r="I15" s="659">
        <f>I16+I17+I18+I19+I20+I21+I22+I23+I24+I25+I26</f>
        <v>0</v>
      </c>
      <c r="J15" s="659">
        <f>J16+J17+J18+J19+J20+J21+J22+J23+J24+J25+J26</f>
        <v>56075.68</v>
      </c>
      <c r="K15" s="659">
        <f>K16+K17+K18+K19+K20+K21+K22+K23+K24+K25+K26</f>
        <v>0</v>
      </c>
      <c r="L15" s="659">
        <f>L16+L17+L18+L19+L20+L21+L22+L23+L24+L25+L26</f>
        <v>0</v>
      </c>
      <c r="M15" s="660">
        <f t="shared" si="1"/>
        <v>56075.68</v>
      </c>
    </row>
    <row r="16" spans="1:13" ht="21.75" customHeight="1">
      <c r="A16" s="1000" t="s">
        <v>278</v>
      </c>
      <c r="B16" s="1001"/>
      <c r="C16" s="665"/>
      <c r="D16" s="665"/>
      <c r="E16" s="665"/>
      <c r="F16" s="665"/>
      <c r="G16" s="666">
        <f t="shared" si="0"/>
        <v>0</v>
      </c>
      <c r="H16" s="667"/>
      <c r="I16" s="665"/>
      <c r="J16" s="665"/>
      <c r="K16" s="665"/>
      <c r="L16" s="665"/>
      <c r="M16" s="666">
        <f t="shared" si="1"/>
        <v>0</v>
      </c>
    </row>
    <row r="17" spans="1:13" ht="34.5" customHeight="1">
      <c r="A17" s="1000" t="s">
        <v>279</v>
      </c>
      <c r="B17" s="1001"/>
      <c r="C17" s="665"/>
      <c r="D17" s="665"/>
      <c r="E17" s="665"/>
      <c r="F17" s="665"/>
      <c r="G17" s="666">
        <f t="shared" si="0"/>
        <v>0</v>
      </c>
      <c r="H17" s="667"/>
      <c r="I17" s="665"/>
      <c r="J17" s="665"/>
      <c r="K17" s="665"/>
      <c r="L17" s="665"/>
      <c r="M17" s="666">
        <f t="shared" si="1"/>
        <v>0</v>
      </c>
    </row>
    <row r="18" spans="1:13" ht="21.75" customHeight="1">
      <c r="A18" s="1000" t="s">
        <v>280</v>
      </c>
      <c r="B18" s="1001"/>
      <c r="C18" s="668"/>
      <c r="D18" s="668">
        <v>12805.92</v>
      </c>
      <c r="E18" s="668"/>
      <c r="F18" s="665"/>
      <c r="G18" s="666">
        <f t="shared" si="0"/>
        <v>12805.92</v>
      </c>
      <c r="H18" s="667"/>
      <c r="I18" s="668"/>
      <c r="J18" s="668">
        <v>12783.81</v>
      </c>
      <c r="K18" s="668"/>
      <c r="L18" s="665"/>
      <c r="M18" s="666">
        <f t="shared" si="1"/>
        <v>12783.81</v>
      </c>
    </row>
    <row r="19" spans="1:13" ht="21.75" customHeight="1">
      <c r="A19" s="1002" t="s">
        <v>281</v>
      </c>
      <c r="B19" s="1003"/>
      <c r="C19" s="669"/>
      <c r="D19" s="669">
        <v>24188.6</v>
      </c>
      <c r="E19" s="669"/>
      <c r="F19" s="665"/>
      <c r="G19" s="666">
        <f t="shared" si="0"/>
        <v>24188.6</v>
      </c>
      <c r="H19" s="670"/>
      <c r="I19" s="669"/>
      <c r="J19" s="669">
        <v>24170.77</v>
      </c>
      <c r="K19" s="669"/>
      <c r="L19" s="665"/>
      <c r="M19" s="666">
        <f t="shared" si="1"/>
        <v>24170.77</v>
      </c>
    </row>
    <row r="20" spans="1:13" ht="23.25" customHeight="1">
      <c r="A20" s="1004" t="s">
        <v>282</v>
      </c>
      <c r="B20" s="1005"/>
      <c r="C20" s="669"/>
      <c r="D20" s="669"/>
      <c r="E20" s="669"/>
      <c r="F20" s="665"/>
      <c r="G20" s="666">
        <f t="shared" si="0"/>
        <v>0</v>
      </c>
      <c r="H20" s="670"/>
      <c r="I20" s="669"/>
      <c r="J20" s="669"/>
      <c r="K20" s="669"/>
      <c r="L20" s="665"/>
      <c r="M20" s="666">
        <f t="shared" si="1"/>
        <v>0</v>
      </c>
    </row>
    <row r="21" spans="1:17" ht="36.75" customHeight="1">
      <c r="A21" s="1004" t="s">
        <v>283</v>
      </c>
      <c r="B21" s="1005"/>
      <c r="C21" s="669"/>
      <c r="D21" s="669"/>
      <c r="E21" s="669"/>
      <c r="F21" s="665"/>
      <c r="G21" s="666">
        <f t="shared" si="0"/>
        <v>0</v>
      </c>
      <c r="H21" s="670"/>
      <c r="I21" s="669"/>
      <c r="J21" s="669"/>
      <c r="K21" s="669"/>
      <c r="L21" s="665"/>
      <c r="M21" s="666">
        <f t="shared" si="1"/>
        <v>0</v>
      </c>
      <c r="Q21" s="844"/>
    </row>
    <row r="22" spans="1:13" ht="23.25" customHeight="1">
      <c r="A22" s="1006" t="s">
        <v>284</v>
      </c>
      <c r="B22" s="1005"/>
      <c r="C22" s="669"/>
      <c r="D22" s="669"/>
      <c r="E22" s="669"/>
      <c r="F22" s="665"/>
      <c r="G22" s="666">
        <f t="shared" si="0"/>
        <v>0</v>
      </c>
      <c r="H22" s="670"/>
      <c r="I22" s="669"/>
      <c r="J22" s="669"/>
      <c r="K22" s="669"/>
      <c r="L22" s="665"/>
      <c r="M22" s="666">
        <f t="shared" si="1"/>
        <v>0</v>
      </c>
    </row>
    <row r="23" spans="1:13" ht="21.75" customHeight="1">
      <c r="A23" s="1006" t="s">
        <v>285</v>
      </c>
      <c r="B23" s="1005"/>
      <c r="C23" s="668"/>
      <c r="D23" s="668">
        <v>19125.18</v>
      </c>
      <c r="E23" s="668"/>
      <c r="F23" s="665"/>
      <c r="G23" s="666">
        <f t="shared" si="0"/>
        <v>19125.18</v>
      </c>
      <c r="H23" s="667"/>
      <c r="I23" s="668"/>
      <c r="J23" s="668">
        <v>19121.1</v>
      </c>
      <c r="K23" s="668"/>
      <c r="L23" s="665"/>
      <c r="M23" s="666">
        <f t="shared" si="1"/>
        <v>19121.1</v>
      </c>
    </row>
    <row r="24" spans="1:13" ht="25.5" customHeight="1">
      <c r="A24" s="1006" t="s">
        <v>286</v>
      </c>
      <c r="B24" s="1005"/>
      <c r="C24" s="669"/>
      <c r="D24" s="669"/>
      <c r="E24" s="669"/>
      <c r="F24" s="665"/>
      <c r="G24" s="666">
        <f t="shared" si="0"/>
        <v>0</v>
      </c>
      <c r="H24" s="670"/>
      <c r="I24" s="669"/>
      <c r="J24" s="669"/>
      <c r="K24" s="669"/>
      <c r="L24" s="665"/>
      <c r="M24" s="666">
        <f t="shared" si="1"/>
        <v>0</v>
      </c>
    </row>
    <row r="25" spans="1:13" ht="36.75" customHeight="1">
      <c r="A25" s="1006" t="s">
        <v>287</v>
      </c>
      <c r="B25" s="1005"/>
      <c r="C25" s="669"/>
      <c r="D25" s="669"/>
      <c r="E25" s="669"/>
      <c r="F25" s="665"/>
      <c r="G25" s="666">
        <f t="shared" si="0"/>
        <v>0</v>
      </c>
      <c r="H25" s="670"/>
      <c r="I25" s="669"/>
      <c r="J25" s="669"/>
      <c r="K25" s="669"/>
      <c r="L25" s="665"/>
      <c r="M25" s="666">
        <f t="shared" si="1"/>
        <v>0</v>
      </c>
    </row>
    <row r="26" spans="1:13" ht="35.25" customHeight="1">
      <c r="A26" s="1006" t="s">
        <v>288</v>
      </c>
      <c r="B26" s="1007"/>
      <c r="C26" s="668"/>
      <c r="D26" s="668"/>
      <c r="E26" s="668"/>
      <c r="F26" s="665"/>
      <c r="G26" s="666">
        <f t="shared" si="0"/>
        <v>0</v>
      </c>
      <c r="H26" s="667"/>
      <c r="I26" s="668"/>
      <c r="J26" s="668"/>
      <c r="K26" s="668"/>
      <c r="L26" s="665"/>
      <c r="M26" s="666">
        <f t="shared" si="1"/>
        <v>0</v>
      </c>
    </row>
    <row r="27" spans="1:13" ht="27" customHeight="1" hidden="1">
      <c r="A27" s="1008" t="s">
        <v>289</v>
      </c>
      <c r="B27" s="1009"/>
      <c r="C27" s="671"/>
      <c r="D27" s="671"/>
      <c r="E27" s="672"/>
      <c r="F27" s="672"/>
      <c r="G27" s="673">
        <f t="shared" si="0"/>
        <v>0</v>
      </c>
      <c r="H27" s="674"/>
      <c r="I27" s="671"/>
      <c r="J27" s="671"/>
      <c r="K27" s="672"/>
      <c r="L27" s="672"/>
      <c r="M27" s="673">
        <f t="shared" si="1"/>
        <v>0</v>
      </c>
    </row>
    <row r="28" spans="1:13" ht="27" customHeight="1">
      <c r="A28" s="993" t="s">
        <v>290</v>
      </c>
      <c r="B28" s="999"/>
      <c r="C28" s="659">
        <f>C29+C30+C31+C32+C33+C34</f>
        <v>0</v>
      </c>
      <c r="D28" s="659">
        <f>D29+D30+D31+D32+D33+D34</f>
        <v>2549.44</v>
      </c>
      <c r="E28" s="675">
        <f>E29+E30+E31+E32+E33+E34</f>
        <v>0</v>
      </c>
      <c r="F28" s="675">
        <f>F29+F30+F31+F32+F33+F34</f>
        <v>0</v>
      </c>
      <c r="G28" s="660">
        <f t="shared" si="0"/>
        <v>2549.44</v>
      </c>
      <c r="H28" s="661"/>
      <c r="I28" s="659">
        <f>I29+I30+I31+I32+I33+I34</f>
        <v>0</v>
      </c>
      <c r="J28" s="659">
        <f>J29+J30+J31+J32+J33+J34</f>
        <v>2549.44</v>
      </c>
      <c r="K28" s="675">
        <f>K29+K30+K31+K32+K33+K34</f>
        <v>0</v>
      </c>
      <c r="L28" s="675">
        <f>L29+L30+L31+L32+L33+L34</f>
        <v>0</v>
      </c>
      <c r="M28" s="660">
        <f t="shared" si="1"/>
        <v>2549.44</v>
      </c>
    </row>
    <row r="29" spans="1:13" ht="27" customHeight="1">
      <c r="A29" s="1010" t="s">
        <v>291</v>
      </c>
      <c r="B29" s="1007"/>
      <c r="C29" s="668"/>
      <c r="D29" s="668"/>
      <c r="E29" s="665"/>
      <c r="F29" s="665"/>
      <c r="G29" s="666">
        <f t="shared" si="0"/>
        <v>0</v>
      </c>
      <c r="H29" s="667"/>
      <c r="I29" s="668"/>
      <c r="J29" s="668"/>
      <c r="K29" s="665"/>
      <c r="L29" s="665"/>
      <c r="M29" s="666">
        <f t="shared" si="1"/>
        <v>0</v>
      </c>
    </row>
    <row r="30" spans="1:13" ht="20.25" customHeight="1">
      <c r="A30" s="1010" t="s">
        <v>292</v>
      </c>
      <c r="B30" s="1007"/>
      <c r="C30" s="668"/>
      <c r="D30" s="668"/>
      <c r="E30" s="668"/>
      <c r="F30" s="665"/>
      <c r="G30" s="666">
        <f t="shared" si="0"/>
        <v>0</v>
      </c>
      <c r="H30" s="667"/>
      <c r="I30" s="668"/>
      <c r="J30" s="668"/>
      <c r="K30" s="668"/>
      <c r="L30" s="665"/>
      <c r="M30" s="666">
        <f t="shared" si="1"/>
        <v>0</v>
      </c>
    </row>
    <row r="31" spans="1:13" ht="23.25" customHeight="1">
      <c r="A31" s="1010" t="s">
        <v>293</v>
      </c>
      <c r="B31" s="1007"/>
      <c r="C31" s="668"/>
      <c r="D31" s="668">
        <v>2549.44</v>
      </c>
      <c r="E31" s="668"/>
      <c r="F31" s="665"/>
      <c r="G31" s="666">
        <f t="shared" si="0"/>
        <v>2549.44</v>
      </c>
      <c r="H31" s="667"/>
      <c r="I31" s="668"/>
      <c r="J31" s="668">
        <v>2549.44</v>
      </c>
      <c r="K31" s="668"/>
      <c r="L31" s="665"/>
      <c r="M31" s="666">
        <f t="shared" si="1"/>
        <v>2549.44</v>
      </c>
    </row>
    <row r="32" spans="1:13" ht="25.5" customHeight="1">
      <c r="A32" s="1010" t="s">
        <v>294</v>
      </c>
      <c r="B32" s="1007"/>
      <c r="C32" s="668"/>
      <c r="D32" s="668">
        <v>0</v>
      </c>
      <c r="E32" s="668"/>
      <c r="F32" s="665"/>
      <c r="G32" s="666">
        <f t="shared" si="0"/>
        <v>0</v>
      </c>
      <c r="H32" s="667"/>
      <c r="I32" s="668"/>
      <c r="J32" s="668"/>
      <c r="K32" s="668"/>
      <c r="L32" s="665"/>
      <c r="M32" s="666">
        <f t="shared" si="1"/>
        <v>0</v>
      </c>
    </row>
    <row r="33" spans="1:13" ht="24.75" customHeight="1">
      <c r="A33" s="1011" t="s">
        <v>295</v>
      </c>
      <c r="B33" s="1007"/>
      <c r="C33" s="668"/>
      <c r="D33" s="668"/>
      <c r="E33" s="668"/>
      <c r="F33" s="665"/>
      <c r="G33" s="666">
        <f t="shared" si="0"/>
        <v>0</v>
      </c>
      <c r="H33" s="667"/>
      <c r="I33" s="668"/>
      <c r="J33" s="668"/>
      <c r="K33" s="668"/>
      <c r="L33" s="665"/>
      <c r="M33" s="666">
        <f t="shared" si="1"/>
        <v>0</v>
      </c>
    </row>
    <row r="34" spans="1:13" ht="25.5" customHeight="1" thickBot="1">
      <c r="A34" s="1012" t="s">
        <v>296</v>
      </c>
      <c r="B34" s="1013"/>
      <c r="C34" s="676"/>
      <c r="D34" s="676">
        <v>0</v>
      </c>
      <c r="E34" s="676"/>
      <c r="F34" s="677"/>
      <c r="G34" s="678">
        <f t="shared" si="0"/>
        <v>0</v>
      </c>
      <c r="H34" s="679"/>
      <c r="I34" s="676"/>
      <c r="J34" s="676"/>
      <c r="K34" s="676"/>
      <c r="L34" s="677"/>
      <c r="M34" s="678">
        <f t="shared" si="1"/>
        <v>0</v>
      </c>
    </row>
    <row r="35" spans="1:13" ht="18.75" customHeight="1" thickBot="1">
      <c r="A35" s="1014" t="s">
        <v>297</v>
      </c>
      <c r="B35" s="1015"/>
      <c r="C35" s="680"/>
      <c r="D35" s="680">
        <v>6671.76</v>
      </c>
      <c r="E35" s="680"/>
      <c r="F35" s="681"/>
      <c r="G35" s="682">
        <f t="shared" si="0"/>
        <v>6671.76</v>
      </c>
      <c r="H35" s="683"/>
      <c r="I35" s="680"/>
      <c r="J35" s="680">
        <v>6671.6</v>
      </c>
      <c r="K35" s="680"/>
      <c r="L35" s="681"/>
      <c r="M35" s="682">
        <f t="shared" si="1"/>
        <v>6671.6</v>
      </c>
    </row>
    <row r="36" spans="1:13" ht="34.5" customHeight="1" thickBot="1">
      <c r="A36" s="1016" t="s">
        <v>298</v>
      </c>
      <c r="B36" s="1017"/>
      <c r="C36" s="684">
        <f>C9+C12+C15+C28+C35</f>
        <v>0</v>
      </c>
      <c r="D36" s="684">
        <f>D9+D12+D15+D28+D35</f>
        <v>65340.9</v>
      </c>
      <c r="E36" s="684">
        <f>E9+E12+E15+E28+E35</f>
        <v>0</v>
      </c>
      <c r="F36" s="685">
        <f>F9+F12+F15+F28+F35</f>
        <v>0</v>
      </c>
      <c r="G36" s="686">
        <f t="shared" si="0"/>
        <v>65340.9</v>
      </c>
      <c r="H36" s="687"/>
      <c r="I36" s="684">
        <f>I9+I12+I15+I28+I35</f>
        <v>0</v>
      </c>
      <c r="J36" s="684">
        <f>J9+J12+J15+J28+J35</f>
        <v>65296.72</v>
      </c>
      <c r="K36" s="684">
        <f>K9+K12+K15+K28+K35</f>
        <v>0</v>
      </c>
      <c r="L36" s="685">
        <f>L9+L12+L15+L28+L35</f>
        <v>0</v>
      </c>
      <c r="M36" s="686">
        <f t="shared" si="1"/>
        <v>65296.72</v>
      </c>
    </row>
    <row r="37" ht="13.5" thickTop="1"/>
    <row r="43" ht="12.75">
      <c r="J43" s="339"/>
    </row>
    <row r="46" ht="12.75">
      <c r="E46" s="688"/>
    </row>
  </sheetData>
  <mergeCells count="32"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6:B7"/>
    <mergeCell ref="C6:F6"/>
    <mergeCell ref="I6:L6"/>
    <mergeCell ref="A8:B8"/>
  </mergeCells>
  <printOptions/>
  <pageMargins left="0.22" right="0.31" top="0.75" bottom="0.24" header="0.17" footer="0.17"/>
  <pageSetup fitToHeight="1" fitToWidth="1" horizontalDpi="600" verticalDpi="600" orientation="portrait" paperSize="9" scale="77" r:id="rId1"/>
  <headerFooter alignWithMargins="0">
    <oddHeader>&amp;RPříloha č. 6 k č.j. 48/16 511/2010-482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1">
      <selection activeCell="H21" sqref="H21"/>
    </sheetView>
  </sheetViews>
  <sheetFormatPr defaultColWidth="9.125" defaultRowHeight="12.75"/>
  <cols>
    <col min="13" max="13" width="11.375" style="0" customWidth="1"/>
  </cols>
  <sheetData>
    <row r="1" spans="1:12" ht="18">
      <c r="A1" s="559" t="s">
        <v>243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ht="13.5" thickBot="1"/>
    <row r="3" spans="1:16" ht="12.75">
      <c r="A3" s="560"/>
      <c r="B3" s="561" t="s">
        <v>244</v>
      </c>
      <c r="C3" s="562"/>
      <c r="D3" s="562"/>
      <c r="E3" s="562"/>
      <c r="F3" s="562"/>
      <c r="G3" s="562"/>
      <c r="H3" s="562"/>
      <c r="I3" s="562"/>
      <c r="J3" s="562"/>
      <c r="K3" s="562"/>
      <c r="L3" s="563"/>
      <c r="M3" s="564" t="s">
        <v>245</v>
      </c>
      <c r="N3" s="565" t="s">
        <v>239</v>
      </c>
      <c r="O3" s="565"/>
      <c r="P3" s="566"/>
    </row>
    <row r="4" spans="1:16" ht="12.75">
      <c r="A4" s="567"/>
      <c r="B4" s="568" t="s">
        <v>246</v>
      </c>
      <c r="C4" s="569"/>
      <c r="D4" s="570"/>
      <c r="E4" s="1018" t="s">
        <v>247</v>
      </c>
      <c r="F4" s="1019"/>
      <c r="G4" s="1019"/>
      <c r="H4" s="571" t="s">
        <v>248</v>
      </c>
      <c r="I4" s="572"/>
      <c r="J4" s="573" t="s">
        <v>239</v>
      </c>
      <c r="K4" s="573"/>
      <c r="L4" s="574"/>
      <c r="M4" s="575" t="s">
        <v>249</v>
      </c>
      <c r="N4" s="576" t="s">
        <v>240</v>
      </c>
      <c r="O4" s="577" t="s">
        <v>241</v>
      </c>
      <c r="P4" s="574" t="s">
        <v>239</v>
      </c>
    </row>
    <row r="5" spans="1:16" ht="13.5" thickBot="1">
      <c r="A5" s="578"/>
      <c r="B5" s="579" t="s">
        <v>240</v>
      </c>
      <c r="C5" s="580" t="s">
        <v>241</v>
      </c>
      <c r="D5" s="581" t="s">
        <v>242</v>
      </c>
      <c r="E5" s="579" t="s">
        <v>240</v>
      </c>
      <c r="F5" s="580" t="s">
        <v>241</v>
      </c>
      <c r="G5" s="581" t="s">
        <v>242</v>
      </c>
      <c r="H5" s="582" t="s">
        <v>240</v>
      </c>
      <c r="I5" s="582" t="s">
        <v>241</v>
      </c>
      <c r="J5" s="579" t="s">
        <v>240</v>
      </c>
      <c r="K5" s="583" t="s">
        <v>241</v>
      </c>
      <c r="L5" s="581" t="s">
        <v>242</v>
      </c>
      <c r="M5" s="584" t="s">
        <v>248</v>
      </c>
      <c r="N5" s="585"/>
      <c r="O5" s="586"/>
      <c r="P5" s="587"/>
    </row>
    <row r="6" spans="1:16" ht="12.75">
      <c r="A6" s="588" t="s">
        <v>184</v>
      </c>
      <c r="B6" s="589"/>
      <c r="C6" s="590"/>
      <c r="D6" s="591">
        <f>SUM(B6:C6)</f>
        <v>0</v>
      </c>
      <c r="E6" s="589"/>
      <c r="F6" s="590"/>
      <c r="G6" s="591">
        <f>SUM(E6:F6)</f>
        <v>0</v>
      </c>
      <c r="H6" s="591"/>
      <c r="I6" s="591"/>
      <c r="J6" s="589">
        <f aca="true" t="shared" si="0" ref="J6:K9">B6+E6+H6</f>
        <v>0</v>
      </c>
      <c r="K6" s="589">
        <f>C6+F6+I6</f>
        <v>0</v>
      </c>
      <c r="L6" s="591">
        <f aca="true" t="shared" si="1" ref="L6:L11">J6+K6</f>
        <v>0</v>
      </c>
      <c r="M6" s="592"/>
      <c r="N6" s="589">
        <f>J6</f>
        <v>0</v>
      </c>
      <c r="O6" s="590">
        <f>K6+M6</f>
        <v>0</v>
      </c>
      <c r="P6" s="591">
        <f aca="true" t="shared" si="2" ref="P6:P11">N6+O6</f>
        <v>0</v>
      </c>
    </row>
    <row r="7" spans="1:17" ht="12.75">
      <c r="A7" s="593" t="s">
        <v>186</v>
      </c>
      <c r="B7" s="594"/>
      <c r="C7" s="595"/>
      <c r="D7" s="596">
        <f>B7+C7</f>
        <v>0</v>
      </c>
      <c r="E7" s="594">
        <v>48</v>
      </c>
      <c r="F7" s="595"/>
      <c r="G7" s="596">
        <f>E7+F7</f>
        <v>48</v>
      </c>
      <c r="H7" s="596">
        <v>155</v>
      </c>
      <c r="I7" s="597"/>
      <c r="J7" s="594">
        <f t="shared" si="0"/>
        <v>203</v>
      </c>
      <c r="K7" s="594">
        <f t="shared" si="0"/>
        <v>0</v>
      </c>
      <c r="L7" s="596">
        <f t="shared" si="1"/>
        <v>203</v>
      </c>
      <c r="M7" s="598">
        <v>183</v>
      </c>
      <c r="N7" s="594">
        <f>J7</f>
        <v>203</v>
      </c>
      <c r="O7" s="595">
        <f>K7+M7</f>
        <v>183</v>
      </c>
      <c r="P7" s="596">
        <f t="shared" si="2"/>
        <v>386</v>
      </c>
      <c r="Q7" s="599"/>
    </row>
    <row r="8" spans="1:16" ht="12.75">
      <c r="A8" s="593" t="s">
        <v>187</v>
      </c>
      <c r="B8" s="594"/>
      <c r="C8" s="595"/>
      <c r="D8" s="596">
        <f>SUM(B8:C8)</f>
        <v>0</v>
      </c>
      <c r="E8" s="594"/>
      <c r="F8" s="595"/>
      <c r="G8" s="596">
        <f>SUM(E8:F8)</f>
        <v>0</v>
      </c>
      <c r="H8" s="600"/>
      <c r="I8" s="597"/>
      <c r="J8" s="594">
        <f t="shared" si="0"/>
        <v>0</v>
      </c>
      <c r="K8" s="594">
        <f t="shared" si="0"/>
        <v>0</v>
      </c>
      <c r="L8" s="596">
        <f t="shared" si="1"/>
        <v>0</v>
      </c>
      <c r="M8" s="601"/>
      <c r="N8" s="594">
        <f>J8</f>
        <v>0</v>
      </c>
      <c r="O8" s="595">
        <f>K8+M8</f>
        <v>0</v>
      </c>
      <c r="P8" s="596">
        <f t="shared" si="2"/>
        <v>0</v>
      </c>
    </row>
    <row r="9" spans="1:16" ht="13.5" thickBot="1">
      <c r="A9" s="578" t="s">
        <v>188</v>
      </c>
      <c r="B9" s="602"/>
      <c r="C9" s="603"/>
      <c r="D9" s="604">
        <f>SUM(B9:C9)</f>
        <v>0</v>
      </c>
      <c r="E9" s="602">
        <v>0</v>
      </c>
      <c r="F9" s="603"/>
      <c r="G9" s="604">
        <f>SUM(E9:F9)</f>
        <v>0</v>
      </c>
      <c r="H9" s="604"/>
      <c r="I9" s="605"/>
      <c r="J9" s="602">
        <f t="shared" si="0"/>
        <v>0</v>
      </c>
      <c r="K9" s="602">
        <f t="shared" si="0"/>
        <v>0</v>
      </c>
      <c r="L9" s="604">
        <f t="shared" si="1"/>
        <v>0</v>
      </c>
      <c r="M9" s="604">
        <v>0</v>
      </c>
      <c r="N9" s="602">
        <f>J9</f>
        <v>0</v>
      </c>
      <c r="O9" s="603">
        <f>K9+M9</f>
        <v>0</v>
      </c>
      <c r="P9" s="604">
        <f t="shared" si="2"/>
        <v>0</v>
      </c>
    </row>
    <row r="10" spans="1:16" ht="12.75">
      <c r="A10" s="567"/>
      <c r="B10" s="606"/>
      <c r="C10" s="607"/>
      <c r="D10" s="608"/>
      <c r="E10" s="606"/>
      <c r="F10" s="607"/>
      <c r="G10" s="608"/>
      <c r="H10" s="608"/>
      <c r="I10" s="609"/>
      <c r="J10" s="606">
        <f>SUM(J6:J9)</f>
        <v>203</v>
      </c>
      <c r="K10" s="606">
        <f>SUM(K6:K9)</f>
        <v>0</v>
      </c>
      <c r="L10" s="608">
        <f t="shared" si="1"/>
        <v>203</v>
      </c>
      <c r="M10" s="608"/>
      <c r="N10" s="606">
        <f>SUM(N6:N9)</f>
        <v>203</v>
      </c>
      <c r="O10" s="607">
        <f>SUM(O6:O9)</f>
        <v>183</v>
      </c>
      <c r="P10" s="610">
        <f t="shared" si="2"/>
        <v>386</v>
      </c>
    </row>
    <row r="11" spans="1:16" ht="13.5" thickBot="1">
      <c r="A11" s="578"/>
      <c r="B11" s="602">
        <f>SUM(B6:B9)</f>
        <v>0</v>
      </c>
      <c r="C11" s="603">
        <f>SUM(C6:C9)</f>
        <v>0</v>
      </c>
      <c r="D11" s="604">
        <f>SUM(B11:C11)</f>
        <v>0</v>
      </c>
      <c r="E11" s="602">
        <f>SUM(E6:E9)</f>
        <v>48</v>
      </c>
      <c r="F11" s="603">
        <f>SUM(F6:F9)</f>
        <v>0</v>
      </c>
      <c r="G11" s="604">
        <f>SUM(E11:F11)</f>
        <v>48</v>
      </c>
      <c r="H11" s="604">
        <f>SUM(H6:H9)</f>
        <v>155</v>
      </c>
      <c r="I11" s="604">
        <f>SUM(I6:I9)</f>
        <v>0</v>
      </c>
      <c r="J11" s="602">
        <f>B11+E11+H11</f>
        <v>203</v>
      </c>
      <c r="K11" s="602">
        <f>C11+F11+I11</f>
        <v>0</v>
      </c>
      <c r="L11" s="604">
        <f t="shared" si="1"/>
        <v>203</v>
      </c>
      <c r="M11" s="604">
        <f>SUM(M6:M9)</f>
        <v>183</v>
      </c>
      <c r="N11" s="602">
        <f>J11</f>
        <v>203</v>
      </c>
      <c r="O11" s="603">
        <f>K11+M11</f>
        <v>183</v>
      </c>
      <c r="P11" s="604">
        <f t="shared" si="2"/>
        <v>386</v>
      </c>
    </row>
    <row r="12" spans="2:15" ht="12.75"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</row>
    <row r="13" spans="1:15" ht="12.75">
      <c r="A13" s="611" t="s">
        <v>248</v>
      </c>
      <c r="B13" s="599" t="s">
        <v>302</v>
      </c>
      <c r="C13" s="599"/>
      <c r="D13" s="612"/>
      <c r="E13" s="612"/>
      <c r="F13" s="612"/>
      <c r="G13" s="612"/>
      <c r="H13" s="599"/>
      <c r="I13" s="613" t="s">
        <v>250</v>
      </c>
      <c r="J13" s="613"/>
      <c r="K13" s="613"/>
      <c r="L13" s="599"/>
      <c r="M13" s="599"/>
      <c r="N13" s="599"/>
      <c r="O13" s="599"/>
    </row>
    <row r="14" spans="2:15" ht="12.75">
      <c r="B14" s="599" t="s">
        <v>251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</row>
    <row r="15" spans="2:15" ht="12.75">
      <c r="B15" s="614" t="s">
        <v>252</v>
      </c>
      <c r="C15" s="614" t="s">
        <v>253</v>
      </c>
      <c r="D15" s="614"/>
      <c r="E15" s="614"/>
      <c r="F15" s="614"/>
      <c r="G15" s="614"/>
      <c r="H15" s="599"/>
      <c r="I15" s="599"/>
      <c r="J15" s="599"/>
      <c r="K15" s="599"/>
      <c r="L15" s="599"/>
      <c r="M15" s="599"/>
      <c r="N15" s="599"/>
      <c r="O15" s="599"/>
    </row>
    <row r="18" spans="2:14" s="615" customFormat="1" ht="15.75">
      <c r="B18" s="616" t="s">
        <v>254</v>
      </c>
      <c r="C18" s="617"/>
      <c r="D18" s="617"/>
      <c r="E18" s="617"/>
      <c r="F18" s="617"/>
      <c r="J18" s="616" t="s">
        <v>255</v>
      </c>
      <c r="K18" s="617"/>
      <c r="L18" s="617"/>
      <c r="M18" s="617"/>
      <c r="N18" s="617"/>
    </row>
    <row r="19" spans="2:14" s="615" customFormat="1" ht="15.75">
      <c r="B19" s="616" t="s">
        <v>256</v>
      </c>
      <c r="C19" s="617"/>
      <c r="D19" s="617"/>
      <c r="E19" s="617"/>
      <c r="F19" s="617"/>
      <c r="J19" s="616" t="s">
        <v>256</v>
      </c>
      <c r="K19" s="617"/>
      <c r="L19" s="617"/>
      <c r="M19" s="617"/>
      <c r="N19" s="617"/>
    </row>
    <row r="20" spans="2:14" ht="12.75">
      <c r="B20" s="295"/>
      <c r="C20" s="599" t="s">
        <v>257</v>
      </c>
      <c r="D20" s="599"/>
      <c r="E20" s="599"/>
      <c r="F20" s="599"/>
      <c r="J20" s="295"/>
      <c r="K20" s="599" t="s">
        <v>257</v>
      </c>
      <c r="L20" s="599"/>
      <c r="M20" s="599"/>
      <c r="N20" s="599"/>
    </row>
    <row r="21" ht="13.5" thickBot="1"/>
    <row r="22" spans="2:13" ht="12.75">
      <c r="B22" s="560"/>
      <c r="C22" s="618" t="s">
        <v>240</v>
      </c>
      <c r="D22" s="619" t="s">
        <v>241</v>
      </c>
      <c r="E22" s="620" t="s">
        <v>242</v>
      </c>
      <c r="J22" s="560"/>
      <c r="K22" s="618" t="s">
        <v>240</v>
      </c>
      <c r="L22" s="619" t="s">
        <v>241</v>
      </c>
      <c r="M22" s="620" t="s">
        <v>242</v>
      </c>
    </row>
    <row r="23" spans="2:13" ht="13.5" thickBot="1">
      <c r="B23" s="578"/>
      <c r="C23" s="621"/>
      <c r="D23" s="586"/>
      <c r="E23" s="587"/>
      <c r="J23" s="578"/>
      <c r="K23" s="621"/>
      <c r="L23" s="586"/>
      <c r="M23" s="587"/>
    </row>
    <row r="24" spans="2:13" ht="12.75">
      <c r="B24" s="622" t="s">
        <v>184</v>
      </c>
      <c r="C24" s="623"/>
      <c r="D24" s="624"/>
      <c r="E24" s="608">
        <f>C24+D24</f>
        <v>0</v>
      </c>
      <c r="J24" s="567" t="s">
        <v>184</v>
      </c>
      <c r="K24" s="625"/>
      <c r="L24" s="607"/>
      <c r="M24" s="608">
        <f>K24+L24</f>
        <v>0</v>
      </c>
    </row>
    <row r="25" spans="2:13" ht="12.75">
      <c r="B25" s="626" t="s">
        <v>186</v>
      </c>
      <c r="C25" s="627">
        <v>203</v>
      </c>
      <c r="D25" s="628"/>
      <c r="E25" s="629">
        <f>C25+D25</f>
        <v>203</v>
      </c>
      <c r="J25" s="630" t="s">
        <v>186</v>
      </c>
      <c r="K25" s="631"/>
      <c r="L25" s="628">
        <v>183</v>
      </c>
      <c r="M25" s="629">
        <f>K25+L25</f>
        <v>183</v>
      </c>
    </row>
    <row r="26" spans="2:13" ht="12.75">
      <c r="B26" s="626" t="s">
        <v>187</v>
      </c>
      <c r="C26" s="627"/>
      <c r="D26" s="628"/>
      <c r="E26" s="629">
        <f>C26+D26</f>
        <v>0</v>
      </c>
      <c r="J26" s="630" t="s">
        <v>187</v>
      </c>
      <c r="K26" s="631"/>
      <c r="L26" s="628"/>
      <c r="M26" s="629">
        <f>K26+L26</f>
        <v>0</v>
      </c>
    </row>
    <row r="27" spans="2:14" ht="13.5" thickBot="1">
      <c r="B27" s="621" t="s">
        <v>188</v>
      </c>
      <c r="C27" s="632">
        <v>0</v>
      </c>
      <c r="D27" s="603">
        <v>0</v>
      </c>
      <c r="E27" s="604">
        <f>C27+D27</f>
        <v>0</v>
      </c>
      <c r="J27" s="578" t="s">
        <v>188</v>
      </c>
      <c r="K27" s="633"/>
      <c r="L27" s="603">
        <v>0</v>
      </c>
      <c r="M27" s="604">
        <f>K27+L27</f>
        <v>0</v>
      </c>
      <c r="N27" s="599"/>
    </row>
    <row r="28" spans="2:13" ht="12.75">
      <c r="B28" s="622"/>
      <c r="C28" s="634"/>
      <c r="D28" s="607"/>
      <c r="E28" s="608"/>
      <c r="J28" s="567"/>
      <c r="K28" s="635"/>
      <c r="L28" s="607"/>
      <c r="M28" s="608"/>
    </row>
    <row r="29" spans="2:13" ht="12.75">
      <c r="B29" s="636" t="s">
        <v>239</v>
      </c>
      <c r="C29" s="637">
        <f>C24+C25+C26+C27</f>
        <v>203</v>
      </c>
      <c r="D29" s="638">
        <f>D24+D25+D26+D27</f>
        <v>0</v>
      </c>
      <c r="E29" s="639">
        <f>C29+D29</f>
        <v>203</v>
      </c>
      <c r="J29" s="640" t="s">
        <v>239</v>
      </c>
      <c r="K29" s="641">
        <f>K24+K25+K26+K27</f>
        <v>0</v>
      </c>
      <c r="L29" s="638">
        <f>L24+L25+L26+L27</f>
        <v>183</v>
      </c>
      <c r="M29" s="639">
        <f>K29+L29</f>
        <v>183</v>
      </c>
    </row>
    <row r="30" spans="2:13" ht="13.5" thickBot="1">
      <c r="B30" s="578"/>
      <c r="C30" s="621"/>
      <c r="D30" s="586"/>
      <c r="E30" s="587"/>
      <c r="J30" s="578"/>
      <c r="K30" s="621"/>
      <c r="L30" s="586"/>
      <c r="M30" s="587"/>
    </row>
  </sheetData>
  <mergeCells count="1">
    <mergeCell ref="E4:G4"/>
  </mergeCells>
  <printOptions/>
  <pageMargins left="0.25" right="0.25" top="1" bottom="1" header="0.4921259845" footer="0.4921259845"/>
  <pageSetup fitToHeight="1" fitToWidth="1" horizontalDpi="600" verticalDpi="600" orientation="landscape" paperSize="9" scale="97" r:id="rId1"/>
  <headerFooter alignWithMargins="0">
    <oddHeader>&amp;RPříloha č. 7 k č.j. 48/16 511/2010-482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K31"/>
  <sheetViews>
    <sheetView workbookViewId="0" topLeftCell="A13">
      <selection activeCell="K12" sqref="K12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2.375" style="0" hidden="1" customWidth="1"/>
    <col min="5" max="5" width="11.875" style="0" hidden="1" customWidth="1"/>
    <col min="6" max="6" width="12.25390625" style="0" customWidth="1"/>
    <col min="7" max="7" width="12.00390625" style="0" customWidth="1"/>
    <col min="8" max="8" width="12.25390625" style="0" customWidth="1"/>
    <col min="9" max="10" width="11.75390625" style="0" customWidth="1"/>
    <col min="11" max="11" width="12.25390625" style="0" customWidth="1"/>
  </cols>
  <sheetData>
    <row r="4" spans="1:8" ht="12.75">
      <c r="A4" s="295" t="s">
        <v>300</v>
      </c>
      <c r="B4" s="295"/>
      <c r="C4" s="295"/>
      <c r="D4" s="295"/>
      <c r="E4" s="295"/>
      <c r="F4" s="295"/>
      <c r="G4" s="295"/>
      <c r="H4" s="295"/>
    </row>
    <row r="5" spans="1:8" ht="12.75">
      <c r="A5" s="295"/>
      <c r="B5" s="295"/>
      <c r="C5" s="295"/>
      <c r="D5" s="295"/>
      <c r="E5" s="295"/>
      <c r="F5" s="295"/>
      <c r="G5" s="295"/>
      <c r="H5" s="295"/>
    </row>
    <row r="6" spans="1:4" ht="12.75">
      <c r="A6" s="295"/>
      <c r="B6" s="295"/>
      <c r="C6" s="295"/>
      <c r="D6" s="295"/>
    </row>
    <row r="7" spans="5:11" ht="13.5" thickBot="1">
      <c r="E7" s="296"/>
      <c r="F7" s="296"/>
      <c r="H7" s="296"/>
      <c r="J7" s="296"/>
      <c r="K7" s="296" t="s">
        <v>105</v>
      </c>
    </row>
    <row r="8" spans="1:11" ht="12.75">
      <c r="A8" s="297"/>
      <c r="B8" s="298">
        <v>1997</v>
      </c>
      <c r="C8" s="298">
        <v>1998</v>
      </c>
      <c r="D8" s="299">
        <v>2002</v>
      </c>
      <c r="E8" s="299">
        <v>2003</v>
      </c>
      <c r="F8" s="299">
        <v>2004</v>
      </c>
      <c r="G8" s="299">
        <v>2005</v>
      </c>
      <c r="H8" s="299">
        <v>2006</v>
      </c>
      <c r="I8" s="299">
        <v>2007</v>
      </c>
      <c r="J8" s="299">
        <v>2008</v>
      </c>
      <c r="K8" s="299">
        <v>2009</v>
      </c>
    </row>
    <row r="9" spans="1:11" ht="12.75">
      <c r="A9" s="300" t="s">
        <v>155</v>
      </c>
      <c r="B9" s="301"/>
      <c r="C9" s="301"/>
      <c r="D9" s="302"/>
      <c r="E9" s="302"/>
      <c r="F9" s="302"/>
      <c r="G9" s="302"/>
      <c r="H9" s="302"/>
      <c r="I9" s="302"/>
      <c r="J9" s="302"/>
      <c r="K9" s="302"/>
    </row>
    <row r="10" spans="1:11" ht="12.75">
      <c r="A10" s="303" t="s">
        <v>156</v>
      </c>
      <c r="B10" s="304">
        <v>166015000</v>
      </c>
      <c r="C10" s="304">
        <v>171354000</v>
      </c>
      <c r="D10" s="305">
        <v>208850701</v>
      </c>
      <c r="E10" s="305">
        <v>225634568</v>
      </c>
      <c r="F10" s="305">
        <v>323451572</v>
      </c>
      <c r="G10" s="305">
        <v>514523656</v>
      </c>
      <c r="H10" s="305">
        <v>513725958</v>
      </c>
      <c r="I10" s="305">
        <v>576506118</v>
      </c>
      <c r="J10" s="305">
        <v>606664861</v>
      </c>
      <c r="K10" s="689">
        <f>522847020-1913037</f>
        <v>520933983</v>
      </c>
    </row>
    <row r="11" spans="1:11" ht="12.75">
      <c r="A11" s="303" t="s">
        <v>157</v>
      </c>
      <c r="B11" s="304">
        <v>17941</v>
      </c>
      <c r="C11" s="304">
        <v>16183</v>
      </c>
      <c r="D11" s="306">
        <v>51653</v>
      </c>
      <c r="E11" s="306">
        <v>38317</v>
      </c>
      <c r="F11" s="306">
        <v>56620</v>
      </c>
      <c r="G11" s="306">
        <v>33608</v>
      </c>
      <c r="H11" s="306">
        <v>42518</v>
      </c>
      <c r="I11" s="306">
        <v>31645</v>
      </c>
      <c r="J11" s="306">
        <v>50363</v>
      </c>
      <c r="K11" s="690">
        <v>1956276</v>
      </c>
    </row>
    <row r="12" spans="1:11" ht="12.75">
      <c r="A12" s="307" t="s">
        <v>8</v>
      </c>
      <c r="B12" s="308">
        <f aca="true" t="shared" si="0" ref="B12:K12">SUM(B10:B11)</f>
        <v>166032941</v>
      </c>
      <c r="C12" s="308">
        <f t="shared" si="0"/>
        <v>171370183</v>
      </c>
      <c r="D12" s="309">
        <f t="shared" si="0"/>
        <v>208902354</v>
      </c>
      <c r="E12" s="309">
        <f t="shared" si="0"/>
        <v>225672885</v>
      </c>
      <c r="F12" s="309">
        <f t="shared" si="0"/>
        <v>323508192</v>
      </c>
      <c r="G12" s="309">
        <f t="shared" si="0"/>
        <v>514557264</v>
      </c>
      <c r="H12" s="309">
        <f t="shared" si="0"/>
        <v>513768476</v>
      </c>
      <c r="I12" s="309">
        <f t="shared" si="0"/>
        <v>576537763</v>
      </c>
      <c r="J12" s="309">
        <f t="shared" si="0"/>
        <v>606715224</v>
      </c>
      <c r="K12" s="309">
        <f t="shared" si="0"/>
        <v>522890259</v>
      </c>
    </row>
    <row r="13" spans="1:11" ht="12.75">
      <c r="A13" s="310" t="s">
        <v>21</v>
      </c>
      <c r="B13" s="311">
        <v>4531326</v>
      </c>
      <c r="C13" s="311">
        <v>4581385</v>
      </c>
      <c r="D13" s="312">
        <v>5902626</v>
      </c>
      <c r="E13" s="312">
        <v>6417899</v>
      </c>
      <c r="F13" s="312">
        <v>6610832</v>
      </c>
      <c r="G13" s="312">
        <v>6926330</v>
      </c>
      <c r="H13" s="312">
        <v>7234856</v>
      </c>
      <c r="I13" s="312">
        <v>7635423</v>
      </c>
      <c r="J13" s="312">
        <v>7928825</v>
      </c>
      <c r="K13" s="312">
        <v>7983688</v>
      </c>
    </row>
    <row r="14" spans="1:11" ht="12.75">
      <c r="A14" s="303" t="s">
        <v>301</v>
      </c>
      <c r="B14" s="304">
        <v>3840727</v>
      </c>
      <c r="C14" s="304">
        <v>3834738</v>
      </c>
      <c r="D14" s="306">
        <v>5543168</v>
      </c>
      <c r="E14" s="306">
        <v>5981917</v>
      </c>
      <c r="F14" s="306">
        <v>6285173</v>
      </c>
      <c r="G14" s="306">
        <v>6513866</v>
      </c>
      <c r="H14" s="306">
        <v>6941058</v>
      </c>
      <c r="I14" s="306">
        <v>7300002</v>
      </c>
      <c r="J14" s="306">
        <v>7440034</v>
      </c>
      <c r="K14" s="306">
        <v>7732931</v>
      </c>
    </row>
    <row r="15" spans="1:11" ht="12.75">
      <c r="A15" s="307" t="s">
        <v>158</v>
      </c>
      <c r="B15" s="691"/>
      <c r="C15" s="691"/>
      <c r="D15" s="314">
        <f>D13-31096</f>
        <v>5871530</v>
      </c>
      <c r="E15" s="315">
        <f>E13-53473</f>
        <v>6364426</v>
      </c>
      <c r="F15" s="315">
        <f>F13-112833</f>
        <v>6497999</v>
      </c>
      <c r="G15" s="315">
        <f>G13-238349</f>
        <v>6687981</v>
      </c>
      <c r="H15" s="315">
        <f>H13-177309</f>
        <v>7057547</v>
      </c>
      <c r="I15" s="315">
        <v>7458474</v>
      </c>
      <c r="J15" s="315">
        <f>J13</f>
        <v>7928825</v>
      </c>
      <c r="K15" s="315">
        <f>K13</f>
        <v>7983688</v>
      </c>
    </row>
    <row r="16" spans="1:11" ht="12.75">
      <c r="A16" s="303" t="s">
        <v>301</v>
      </c>
      <c r="B16" s="313"/>
      <c r="C16" s="313"/>
      <c r="D16" s="316">
        <f>D14-21158</f>
        <v>5522010</v>
      </c>
      <c r="E16" s="317">
        <f>E14-29140</f>
        <v>5952777</v>
      </c>
      <c r="F16" s="317">
        <f>F14-72492</f>
        <v>6212681</v>
      </c>
      <c r="G16" s="317">
        <f>G14-39594</f>
        <v>6474272</v>
      </c>
      <c r="H16" s="317">
        <f>H14-35183</f>
        <v>6905875</v>
      </c>
      <c r="I16" s="317">
        <v>7269592</v>
      </c>
      <c r="J16" s="317">
        <f>J14</f>
        <v>7440034</v>
      </c>
      <c r="K16" s="317">
        <f>K14</f>
        <v>7732931</v>
      </c>
    </row>
    <row r="17" spans="1:11" ht="13.5" thickBot="1">
      <c r="A17" s="318" t="s">
        <v>159</v>
      </c>
      <c r="B17" s="319">
        <v>14105</v>
      </c>
      <c r="C17" s="319">
        <v>14121</v>
      </c>
      <c r="D17" s="320">
        <v>15649</v>
      </c>
      <c r="E17" s="321">
        <v>15668</v>
      </c>
      <c r="F17" s="321">
        <v>15600</v>
      </c>
      <c r="G17" s="321">
        <v>15474</v>
      </c>
      <c r="H17" s="321">
        <v>15619</v>
      </c>
      <c r="I17" s="321">
        <v>15629</v>
      </c>
      <c r="J17" s="321">
        <v>15379</v>
      </c>
      <c r="K17" s="321">
        <v>15330</v>
      </c>
    </row>
    <row r="18" spans="1:4" ht="12.75">
      <c r="A18" s="322"/>
      <c r="B18" s="323"/>
      <c r="C18" s="323"/>
      <c r="D18" s="323"/>
    </row>
    <row r="19" spans="1:4" ht="12.75">
      <c r="A19" s="692"/>
      <c r="B19" s="324"/>
      <c r="C19" s="324"/>
      <c r="D19" s="324"/>
    </row>
    <row r="20" spans="1:7" ht="13.5" thickBot="1">
      <c r="A20" s="325"/>
      <c r="B20" s="326"/>
      <c r="C20" s="326"/>
      <c r="E20" s="327"/>
      <c r="F20" s="327"/>
      <c r="G20" s="327"/>
    </row>
    <row r="21" spans="1:11" ht="12.75">
      <c r="A21" s="297"/>
      <c r="B21" s="298">
        <v>1997</v>
      </c>
      <c r="C21" s="298">
        <v>1998</v>
      </c>
      <c r="D21" s="299">
        <v>2002</v>
      </c>
      <c r="E21" s="299">
        <v>2003</v>
      </c>
      <c r="F21" s="299">
        <v>2004</v>
      </c>
      <c r="G21" s="299">
        <v>2005</v>
      </c>
      <c r="H21" s="299">
        <v>2006</v>
      </c>
      <c r="I21" s="299">
        <v>2007</v>
      </c>
      <c r="J21" s="299">
        <v>2008</v>
      </c>
      <c r="K21" s="299">
        <v>2009</v>
      </c>
    </row>
    <row r="22" spans="1:11" ht="13.5" thickBot="1">
      <c r="A22" s="300" t="s">
        <v>160</v>
      </c>
      <c r="B22" s="301"/>
      <c r="C22" s="301"/>
      <c r="D22" s="302"/>
      <c r="E22" s="302"/>
      <c r="F22" s="302"/>
      <c r="G22" s="302"/>
      <c r="H22" s="302"/>
      <c r="I22" s="302"/>
      <c r="J22" s="302"/>
      <c r="K22" s="302"/>
    </row>
    <row r="23" spans="1:11" ht="12.75">
      <c r="A23" s="328" t="s">
        <v>161</v>
      </c>
      <c r="B23" s="693"/>
      <c r="C23" s="693"/>
      <c r="D23" s="694"/>
      <c r="E23" s="694"/>
      <c r="F23" s="694"/>
      <c r="G23" s="694"/>
      <c r="H23" s="694"/>
      <c r="I23" s="694"/>
      <c r="J23" s="694"/>
      <c r="K23" s="694"/>
    </row>
    <row r="24" spans="1:11" ht="12.75">
      <c r="A24" s="303" t="s">
        <v>162</v>
      </c>
      <c r="B24" s="331">
        <f>B12/B13</f>
        <v>36.64113793622441</v>
      </c>
      <c r="C24" s="331">
        <f>C12/C13</f>
        <v>37.40575895717125</v>
      </c>
      <c r="D24" s="332">
        <f aca="true" t="shared" si="1" ref="D24:J24">D12/D15</f>
        <v>35.57886172769278</v>
      </c>
      <c r="E24" s="332">
        <f t="shared" si="1"/>
        <v>35.45848203750032</v>
      </c>
      <c r="F24" s="332">
        <f t="shared" si="1"/>
        <v>49.785817449340946</v>
      </c>
      <c r="G24" s="332">
        <f t="shared" si="1"/>
        <v>76.9376085249046</v>
      </c>
      <c r="H24" s="332">
        <f t="shared" si="1"/>
        <v>72.79703216995934</v>
      </c>
      <c r="I24" s="332">
        <f t="shared" si="1"/>
        <v>77.29969468285336</v>
      </c>
      <c r="J24" s="332">
        <f t="shared" si="1"/>
        <v>76.52019359741197</v>
      </c>
      <c r="K24" s="332">
        <f>K12/K15</f>
        <v>65.49482632587846</v>
      </c>
    </row>
    <row r="25" spans="1:11" ht="13.5" thickBot="1">
      <c r="A25" s="333" t="s">
        <v>163</v>
      </c>
      <c r="B25" s="313">
        <f aca="true" t="shared" si="2" ref="B25:J25">B12/B17*1000</f>
        <v>11771211.697979439</v>
      </c>
      <c r="C25" s="313">
        <f t="shared" si="2"/>
        <v>12135839.034062743</v>
      </c>
      <c r="D25" s="316">
        <f t="shared" si="2"/>
        <v>13349246.21381558</v>
      </c>
      <c r="E25" s="316">
        <f t="shared" si="2"/>
        <v>14403426.410518253</v>
      </c>
      <c r="F25" s="316">
        <f t="shared" si="2"/>
        <v>20737704.615384616</v>
      </c>
      <c r="G25" s="316">
        <f t="shared" si="2"/>
        <v>33253022.10158976</v>
      </c>
      <c r="H25" s="316">
        <f t="shared" si="2"/>
        <v>32893813.688456364</v>
      </c>
      <c r="I25" s="316">
        <f t="shared" si="2"/>
        <v>36888973.25484676</v>
      </c>
      <c r="J25" s="316">
        <f t="shared" si="2"/>
        <v>39450889.134534106</v>
      </c>
      <c r="K25" s="316">
        <f>K12/K17*1000</f>
        <v>34108953.62035225</v>
      </c>
    </row>
    <row r="26" spans="1:11" ht="12.75">
      <c r="A26" s="328" t="s">
        <v>164</v>
      </c>
      <c r="B26" s="329"/>
      <c r="C26" s="329"/>
      <c r="D26" s="330"/>
      <c r="E26" s="330"/>
      <c r="F26" s="330"/>
      <c r="G26" s="330"/>
      <c r="H26" s="330"/>
      <c r="I26" s="330"/>
      <c r="J26" s="330"/>
      <c r="K26" s="330"/>
    </row>
    <row r="27" spans="1:11" ht="12.75">
      <c r="A27" s="303" t="s">
        <v>165</v>
      </c>
      <c r="B27" s="331">
        <f>B13/B12</f>
        <v>0.02729172881422368</v>
      </c>
      <c r="C27" s="331">
        <f>C13/C12</f>
        <v>0.026733851360828623</v>
      </c>
      <c r="D27" s="332">
        <f aca="true" t="shared" si="3" ref="D27:J27">D15/D12*100</f>
        <v>2.810657653000885</v>
      </c>
      <c r="E27" s="332">
        <f t="shared" si="3"/>
        <v>2.820199688589083</v>
      </c>
      <c r="F27" s="332">
        <f t="shared" si="3"/>
        <v>2.0086041592418162</v>
      </c>
      <c r="G27" s="332">
        <f t="shared" si="3"/>
        <v>1.2997544623138388</v>
      </c>
      <c r="H27" s="332">
        <f t="shared" si="3"/>
        <v>1.3736823743930915</v>
      </c>
      <c r="I27" s="332">
        <f t="shared" si="3"/>
        <v>1.2936661704846557</v>
      </c>
      <c r="J27" s="332">
        <f t="shared" si="3"/>
        <v>1.3068445765587051</v>
      </c>
      <c r="K27" s="332">
        <f>K15/K12*100</f>
        <v>1.5268381582147623</v>
      </c>
    </row>
    <row r="28" spans="1:11" ht="12.75">
      <c r="A28" s="303" t="s">
        <v>166</v>
      </c>
      <c r="B28" s="304">
        <f>B13/B17*1000</f>
        <v>321256.7174760723</v>
      </c>
      <c r="C28" s="304">
        <f>C13/C17*1000</f>
        <v>324437.7168755754</v>
      </c>
      <c r="D28" s="306">
        <f aca="true" t="shared" si="4" ref="D28:J28">D15/D17*1000</f>
        <v>375201.61032653844</v>
      </c>
      <c r="E28" s="306">
        <f t="shared" si="4"/>
        <v>406205.38677559356</v>
      </c>
      <c r="F28" s="306">
        <f t="shared" si="4"/>
        <v>416538.39743589744</v>
      </c>
      <c r="G28" s="306">
        <f t="shared" si="4"/>
        <v>432207.63861962</v>
      </c>
      <c r="H28" s="306">
        <f t="shared" si="4"/>
        <v>451856.52090402716</v>
      </c>
      <c r="I28" s="306">
        <f t="shared" si="4"/>
        <v>477220.1676370849</v>
      </c>
      <c r="J28" s="306">
        <f t="shared" si="4"/>
        <v>515561.80505884654</v>
      </c>
      <c r="K28" s="306">
        <f>K15/K17*1000</f>
        <v>520788.51924331376</v>
      </c>
    </row>
    <row r="29" spans="1:11" ht="13.5" thickBot="1">
      <c r="A29" s="334" t="s">
        <v>167</v>
      </c>
      <c r="B29" s="335">
        <f>B14/B17*1000</f>
        <v>272295.4271534917</v>
      </c>
      <c r="C29" s="335">
        <f>C14/C17*1000</f>
        <v>271562.7788400255</v>
      </c>
      <c r="D29" s="336">
        <f aca="true" t="shared" si="5" ref="D29:J29">D16/D17*1000</f>
        <v>352866.63684580487</v>
      </c>
      <c r="E29" s="336">
        <f t="shared" si="5"/>
        <v>379932.1547102374</v>
      </c>
      <c r="F29" s="336">
        <f t="shared" si="5"/>
        <v>398248.78205128206</v>
      </c>
      <c r="G29" s="336">
        <f t="shared" si="5"/>
        <v>418396.79462323897</v>
      </c>
      <c r="H29" s="336">
        <f t="shared" si="5"/>
        <v>442145.78398104873</v>
      </c>
      <c r="I29" s="336">
        <f t="shared" si="5"/>
        <v>465134.8134877471</v>
      </c>
      <c r="J29" s="336">
        <f t="shared" si="5"/>
        <v>483778.7892580792</v>
      </c>
      <c r="K29" s="336">
        <f>K16/K17*1000</f>
        <v>504431.2459230267</v>
      </c>
    </row>
    <row r="30" spans="1:4" ht="12.75">
      <c r="A30" s="337"/>
      <c r="B30" s="337"/>
      <c r="C30" s="337"/>
      <c r="D30" s="337"/>
    </row>
    <row r="31" ht="12.75">
      <c r="A31" t="s">
        <v>168</v>
      </c>
    </row>
  </sheetData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&amp;RPříloha č. 8 k č.j. 48/16 511/2010-482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5" sqref="A5"/>
    </sheetView>
  </sheetViews>
  <sheetFormatPr defaultColWidth="9.125" defaultRowHeight="12.75"/>
  <cols>
    <col min="1" max="1" width="56.75390625" style="0" bestFit="1" customWidth="1"/>
    <col min="2" max="5" width="11.75390625" style="0" customWidth="1"/>
  </cols>
  <sheetData>
    <row r="1" spans="1:5" ht="15.75">
      <c r="A1" s="1020" t="s">
        <v>351</v>
      </c>
      <c r="B1" s="1020"/>
      <c r="C1" s="1020"/>
      <c r="D1" s="1020"/>
      <c r="E1" s="1020"/>
    </row>
    <row r="2" spans="4:5" ht="13.5" thickBot="1">
      <c r="D2" s="1021" t="s">
        <v>334</v>
      </c>
      <c r="E2" s="1021"/>
    </row>
    <row r="3" spans="1:5" s="849" customFormat="1" ht="25.5">
      <c r="A3" s="845" t="s">
        <v>335</v>
      </c>
      <c r="B3" s="846" t="s">
        <v>336</v>
      </c>
      <c r="C3" s="847" t="s">
        <v>337</v>
      </c>
      <c r="D3" s="847" t="s">
        <v>338</v>
      </c>
      <c r="E3" s="848" t="s">
        <v>339</v>
      </c>
    </row>
    <row r="4" spans="1:5" ht="12.75">
      <c r="A4" s="850" t="s">
        <v>340</v>
      </c>
      <c r="B4" s="851">
        <v>486152.634</v>
      </c>
      <c r="C4" s="851">
        <v>538802.237</v>
      </c>
      <c r="D4" s="851">
        <v>18809.49191</v>
      </c>
      <c r="E4" s="852">
        <v>37126.33255</v>
      </c>
    </row>
    <row r="5" spans="1:5" ht="12.75">
      <c r="A5" s="850" t="s">
        <v>341</v>
      </c>
      <c r="B5" s="851">
        <v>97.13525999999999</v>
      </c>
      <c r="C5" s="851">
        <v>89.11789999999999</v>
      </c>
      <c r="D5" s="851"/>
      <c r="E5" s="852"/>
    </row>
    <row r="6" spans="1:5" ht="12.75">
      <c r="A6" s="850" t="s">
        <v>342</v>
      </c>
      <c r="B6" s="851">
        <v>881393.82501</v>
      </c>
      <c r="C6" s="851">
        <v>764252.9328600001</v>
      </c>
      <c r="D6" s="851">
        <v>81946.56633</v>
      </c>
      <c r="E6" s="852">
        <v>5669.75288</v>
      </c>
    </row>
    <row r="7" spans="1:5" ht="12.75">
      <c r="A7" s="850" t="s">
        <v>343</v>
      </c>
      <c r="B7" s="851">
        <v>-38945.79797</v>
      </c>
      <c r="C7" s="851">
        <v>3791.63686</v>
      </c>
      <c r="D7" s="851">
        <v>11383.87654</v>
      </c>
      <c r="E7" s="852">
        <v>3932.82902</v>
      </c>
    </row>
    <row r="8" spans="1:5" ht="12.75">
      <c r="A8" s="850" t="s">
        <v>344</v>
      </c>
      <c r="B8" s="851">
        <v>-262894.94446</v>
      </c>
      <c r="C8" s="851">
        <v>47470.52378</v>
      </c>
      <c r="D8" s="851">
        <v>20271.25603</v>
      </c>
      <c r="E8" s="852">
        <v>387.10126</v>
      </c>
    </row>
    <row r="9" spans="1:5" ht="12.75">
      <c r="A9" s="850" t="s">
        <v>345</v>
      </c>
      <c r="B9" s="851">
        <v>15531.9245</v>
      </c>
      <c r="C9" s="851">
        <v>10289.7335</v>
      </c>
      <c r="D9" s="851">
        <v>377028.93252</v>
      </c>
      <c r="E9" s="852">
        <v>6160.21403</v>
      </c>
    </row>
    <row r="10" spans="1:5" ht="12.75">
      <c r="A10" s="850" t="s">
        <v>346</v>
      </c>
      <c r="B10" s="851">
        <v>-4844.06491</v>
      </c>
      <c r="C10" s="851">
        <v>498.38142999999997</v>
      </c>
      <c r="D10" s="851">
        <v>3949059.42747</v>
      </c>
      <c r="E10" s="852">
        <v>335724.01008</v>
      </c>
    </row>
    <row r="11" spans="1:5" ht="12.75">
      <c r="A11" s="850" t="s">
        <v>347</v>
      </c>
      <c r="B11" s="851">
        <v>7836.355</v>
      </c>
      <c r="C11" s="851">
        <v>8344.92436</v>
      </c>
      <c r="D11" s="851">
        <v>77328.04041</v>
      </c>
      <c r="E11" s="852">
        <v>12620.6455</v>
      </c>
    </row>
    <row r="12" spans="1:5" ht="12.75">
      <c r="A12" s="850" t="s">
        <v>348</v>
      </c>
      <c r="B12" s="851">
        <v>-261560.1814</v>
      </c>
      <c r="C12" s="851">
        <v>506110.69135000004</v>
      </c>
      <c r="D12" s="851">
        <v>51720.47968</v>
      </c>
      <c r="E12" s="852">
        <v>1947.5833799999998</v>
      </c>
    </row>
    <row r="13" spans="1:5" ht="13.5" thickBot="1">
      <c r="A13" s="850" t="s">
        <v>349</v>
      </c>
      <c r="B13" s="851">
        <v>-154259.51857</v>
      </c>
      <c r="C13" s="851">
        <v>33386.53532</v>
      </c>
      <c r="D13" s="851">
        <v>68249.20688</v>
      </c>
      <c r="E13" s="852">
        <v>69</v>
      </c>
    </row>
    <row r="14" spans="1:5" ht="13.5" thickBot="1">
      <c r="A14" s="853"/>
      <c r="B14" s="854">
        <f>SUM(B4:B13)</f>
        <v>668507.3664600002</v>
      </c>
      <c r="C14" s="854">
        <f>SUM(C4:C13)</f>
        <v>1913036.71436</v>
      </c>
      <c r="D14" s="854">
        <f>SUM(D4:D13)</f>
        <v>4655797.2777700005</v>
      </c>
      <c r="E14" s="855">
        <f>SUM(E4:E13)</f>
        <v>403637.46869999997</v>
      </c>
    </row>
  </sheetData>
  <mergeCells count="2">
    <mergeCell ref="A1:E1"/>
    <mergeCell ref="D2:E2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&amp;RPříloha č. 9 k č.j. 48/16 511/2010-482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1997-07-15T08:14:08Z</dcterms:created>
  <cp:category/>
  <cp:version/>
  <cp:contentType/>
  <cp:contentStatus/>
</cp:coreProperties>
</file>