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firstSheet="6" activeTab="6"/>
  </bookViews>
  <sheets>
    <sheet name="čerpání Q skut. 1999" sheetId="1" r:id="rId1"/>
    <sheet name="čerpání Q skut. 2000" sheetId="2" r:id="rId2"/>
    <sheet name="čerpání Q skut. 2001" sheetId="3" r:id="rId3"/>
    <sheet name="čerpání Q skut. 2002" sheetId="4" r:id="rId4"/>
    <sheet name="čerpání Q skut. 2003" sheetId="5" r:id="rId5"/>
    <sheet name="čerpání Q skut. 2004" sheetId="6" r:id="rId6"/>
    <sheet name="čerpání Q skut. 2007" sheetId="7" r:id="rId7"/>
    <sheet name="List5" sheetId="8" r:id="rId8"/>
  </sheets>
  <definedNames/>
  <calcPr fullCalcOnLoad="1"/>
</workbook>
</file>

<file path=xl/sharedStrings.xml><?xml version="1.0" encoding="utf-8"?>
<sst xmlns="http://schemas.openxmlformats.org/spreadsheetml/2006/main" count="482" uniqueCount="32">
  <si>
    <t>Rovnoměrnost čerpání výdajů kapitoly 312 - Ministerstvo financí</t>
  </si>
  <si>
    <t>v průběhu roku 1999</t>
  </si>
  <si>
    <t>Celkové výdaje</t>
  </si>
  <si>
    <t>skutečnost 1999</t>
  </si>
  <si>
    <t>celoroční</t>
  </si>
  <si>
    <t>1. čtvrtletí</t>
  </si>
  <si>
    <t>2. čtvrtletí</t>
  </si>
  <si>
    <t>3. čtvrtletí</t>
  </si>
  <si>
    <t>4. čtvrtletí</t>
  </si>
  <si>
    <t>KAPITOLA CELKEM</t>
  </si>
  <si>
    <t>v tis. Kč</t>
  </si>
  <si>
    <t>% podíl na roč. výsl.</t>
  </si>
  <si>
    <t>v tom:</t>
  </si>
  <si>
    <t>Ministerstvo financí</t>
  </si>
  <si>
    <t>územní finanční orgány</t>
  </si>
  <si>
    <t>Generální ředitelství cel</t>
  </si>
  <si>
    <t>Kapitálové výdaje:</t>
  </si>
  <si>
    <t>Běžné výdaje:</t>
  </si>
  <si>
    <t>v průběhu roku 2000</t>
  </si>
  <si>
    <t>skutečnost 2000</t>
  </si>
  <si>
    <t>skutečnost 2001</t>
  </si>
  <si>
    <t>v průběhu roku 2001</t>
  </si>
  <si>
    <t>v průběhu roku 2002</t>
  </si>
  <si>
    <t>skutečnost 2002</t>
  </si>
  <si>
    <t>Úřad pro zastupování státu</t>
  </si>
  <si>
    <t>ve věcech majetkových</t>
  </si>
  <si>
    <t>skutečnost 2003</t>
  </si>
  <si>
    <t>v průběhu roku 2004</t>
  </si>
  <si>
    <t>skutečnost 2004</t>
  </si>
  <si>
    <t>v průběhu roku 2003</t>
  </si>
  <si>
    <t>v průběhu roku 2007</t>
  </si>
  <si>
    <t>skutečnost 2007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</si>
</sst>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0"/>
    </font>
    <font>
      <b/>
      <sz val="14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164" fontId="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6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4" fillId="0" borderId="8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3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IV16384"/>
    </sheetView>
  </sheetViews>
  <sheetFormatPr defaultColWidth="9.125" defaultRowHeight="12.75"/>
  <cols>
    <col min="1" max="1" width="21.125" style="1" customWidth="1"/>
    <col min="2" max="2" width="16.25390625" style="1" customWidth="1"/>
    <col min="3" max="16384" width="9.125" style="1" customWidth="1"/>
  </cols>
  <sheetData>
    <row r="1" spans="1:7" ht="18.75">
      <c r="A1" s="16" t="s">
        <v>0</v>
      </c>
      <c r="B1" s="2"/>
      <c r="C1" s="2"/>
      <c r="D1" s="2"/>
      <c r="E1" s="2"/>
      <c r="F1" s="2"/>
      <c r="G1" s="2"/>
    </row>
    <row r="2" spans="1:7" ht="18.75">
      <c r="A2" s="16" t="s">
        <v>1</v>
      </c>
      <c r="B2" s="2"/>
      <c r="C2" s="2"/>
      <c r="D2" s="2"/>
      <c r="E2" s="2"/>
      <c r="F2" s="2"/>
      <c r="G2" s="2"/>
    </row>
    <row r="4" ht="15.75">
      <c r="A4" s="3" t="s">
        <v>2</v>
      </c>
    </row>
    <row r="5" ht="13.5" thickBot="1"/>
    <row r="6" spans="1:7" ht="12.75">
      <c r="A6" s="8"/>
      <c r="B6" s="9"/>
      <c r="C6" s="12" t="s">
        <v>3</v>
      </c>
      <c r="D6" s="12"/>
      <c r="E6" s="12"/>
      <c r="F6" s="12"/>
      <c r="G6" s="13"/>
    </row>
    <row r="7" spans="1:7" ht="13.5" thickBot="1">
      <c r="A7" s="10"/>
      <c r="B7" s="7"/>
      <c r="C7" s="14" t="s">
        <v>4</v>
      </c>
      <c r="D7" s="14" t="s">
        <v>5</v>
      </c>
      <c r="E7" s="14" t="s">
        <v>6</v>
      </c>
      <c r="F7" s="14" t="s">
        <v>7</v>
      </c>
      <c r="G7" s="7" t="s">
        <v>8</v>
      </c>
    </row>
    <row r="8" spans="1:8" ht="12.75">
      <c r="A8" s="11" t="s">
        <v>9</v>
      </c>
      <c r="B8" s="18" t="s">
        <v>10</v>
      </c>
      <c r="C8" s="20">
        <f>C11+C13+C15</f>
        <v>10403008</v>
      </c>
      <c r="D8" s="20">
        <f>D11+D13+D15</f>
        <v>1565810</v>
      </c>
      <c r="E8" s="20">
        <f>E11+E13+E15</f>
        <v>2526241</v>
      </c>
      <c r="F8" s="20">
        <f>F11+F13+F15</f>
        <v>2325564</v>
      </c>
      <c r="G8" s="21">
        <f>G11+G13+G15</f>
        <v>3985393</v>
      </c>
      <c r="H8" s="5"/>
    </row>
    <row r="9" spans="1:7" ht="13.5" thickBot="1">
      <c r="A9" s="10"/>
      <c r="B9" s="7" t="s">
        <v>11</v>
      </c>
      <c r="C9" s="15">
        <f>D9+E9+F9+G9</f>
        <v>100</v>
      </c>
      <c r="D9" s="15">
        <f>D8/C8*100</f>
        <v>15.051512024214537</v>
      </c>
      <c r="E9" s="15">
        <f>E8/C8*100</f>
        <v>24.283755236946853</v>
      </c>
      <c r="F9" s="15">
        <f>F8/C8*100</f>
        <v>22.354726632912328</v>
      </c>
      <c r="G9" s="6">
        <f>G8/C8*100</f>
        <v>38.310006105926284</v>
      </c>
    </row>
    <row r="10" spans="1:7" ht="12.75">
      <c r="A10" s="17" t="s">
        <v>12</v>
      </c>
      <c r="B10" s="18"/>
      <c r="C10" s="19"/>
      <c r="D10" s="19"/>
      <c r="E10" s="19"/>
      <c r="F10" s="19"/>
      <c r="G10" s="18"/>
    </row>
    <row r="11" spans="1:7" ht="12.75">
      <c r="A11" s="11" t="s">
        <v>13</v>
      </c>
      <c r="B11" s="18" t="s">
        <v>10</v>
      </c>
      <c r="C11" s="20">
        <f aca="true" t="shared" si="0" ref="C11:C16">D11+E11+F11+G11</f>
        <v>1479720</v>
      </c>
      <c r="D11" s="20">
        <f>D25+D39</f>
        <v>169749</v>
      </c>
      <c r="E11" s="20">
        <f>E25+E39</f>
        <v>289686</v>
      </c>
      <c r="F11" s="20">
        <f>F25+F39</f>
        <v>337654</v>
      </c>
      <c r="G11" s="21">
        <f>G25+G39</f>
        <v>682631</v>
      </c>
    </row>
    <row r="12" spans="1:7" ht="12.75">
      <c r="A12" s="17"/>
      <c r="B12" s="18" t="s">
        <v>11</v>
      </c>
      <c r="C12" s="22">
        <f t="shared" si="0"/>
        <v>100</v>
      </c>
      <c r="D12" s="22">
        <f>D11/C11*100</f>
        <v>11.471697348146947</v>
      </c>
      <c r="E12" s="22">
        <f>E11/C11*100</f>
        <v>19.577082150677157</v>
      </c>
      <c r="F12" s="22">
        <f>F11/C11*100</f>
        <v>22.818776525288566</v>
      </c>
      <c r="G12" s="23">
        <f>G11/C11*100</f>
        <v>46.13244397588733</v>
      </c>
    </row>
    <row r="13" spans="1:7" ht="12.75">
      <c r="A13" s="11" t="s">
        <v>14</v>
      </c>
      <c r="B13" s="18" t="s">
        <v>10</v>
      </c>
      <c r="C13" s="20">
        <f t="shared" si="0"/>
        <v>4886505</v>
      </c>
      <c r="D13" s="20">
        <f>D27+D41</f>
        <v>781178</v>
      </c>
      <c r="E13" s="20">
        <f>E27+E41</f>
        <v>1248227</v>
      </c>
      <c r="F13" s="20">
        <f>F27+F41</f>
        <v>1071948</v>
      </c>
      <c r="G13" s="21">
        <f>G27+G41</f>
        <v>1785152</v>
      </c>
    </row>
    <row r="14" spans="1:7" ht="12.75">
      <c r="A14" s="17"/>
      <c r="B14" s="18" t="s">
        <v>11</v>
      </c>
      <c r="C14" s="22">
        <f t="shared" si="0"/>
        <v>100</v>
      </c>
      <c r="D14" s="22">
        <f>D13/C13*100</f>
        <v>15.986436113336627</v>
      </c>
      <c r="E14" s="22">
        <f>E13/C13*100</f>
        <v>25.544371693060786</v>
      </c>
      <c r="F14" s="22">
        <f>F13/C13*100</f>
        <v>21.936905825329145</v>
      </c>
      <c r="G14" s="23">
        <f>G13/C13*100</f>
        <v>36.53228636827344</v>
      </c>
    </row>
    <row r="15" spans="1:7" ht="12.75">
      <c r="A15" s="11" t="s">
        <v>15</v>
      </c>
      <c r="B15" s="18" t="s">
        <v>10</v>
      </c>
      <c r="C15" s="20">
        <f t="shared" si="0"/>
        <v>4036783</v>
      </c>
      <c r="D15" s="20">
        <f>D29+D43</f>
        <v>614883</v>
      </c>
      <c r="E15" s="20">
        <f>E29+E43</f>
        <v>988328</v>
      </c>
      <c r="F15" s="20">
        <f>F29+F43</f>
        <v>915962</v>
      </c>
      <c r="G15" s="21">
        <f>G29+G43</f>
        <v>1517610</v>
      </c>
    </row>
    <row r="16" spans="1:7" ht="13.5" thickBot="1">
      <c r="A16" s="10"/>
      <c r="B16" s="7" t="s">
        <v>11</v>
      </c>
      <c r="C16" s="15">
        <f t="shared" si="0"/>
        <v>100</v>
      </c>
      <c r="D16" s="15">
        <f>D15/C15*100</f>
        <v>15.23200528737859</v>
      </c>
      <c r="E16" s="15">
        <f>E15/C15*100</f>
        <v>24.48305990190704</v>
      </c>
      <c r="F16" s="15">
        <f>F15/C15*100</f>
        <v>22.690394801999513</v>
      </c>
      <c r="G16" s="6">
        <f>G15/C15*100</f>
        <v>37.59454000871486</v>
      </c>
    </row>
    <row r="18" ht="15.75">
      <c r="A18" s="4" t="s">
        <v>16</v>
      </c>
    </row>
    <row r="19" ht="13.5" thickBot="1"/>
    <row r="20" spans="1:7" ht="12.75">
      <c r="A20" s="8"/>
      <c r="B20" s="9"/>
      <c r="C20" s="12" t="s">
        <v>3</v>
      </c>
      <c r="D20" s="12"/>
      <c r="E20" s="12"/>
      <c r="F20" s="12"/>
      <c r="G20" s="13"/>
    </row>
    <row r="21" spans="1:7" ht="13.5" thickBot="1">
      <c r="A21" s="10"/>
      <c r="B21" s="7"/>
      <c r="C21" s="14" t="s">
        <v>4</v>
      </c>
      <c r="D21" s="14" t="s">
        <v>5</v>
      </c>
      <c r="E21" s="14" t="s">
        <v>6</v>
      </c>
      <c r="F21" s="14" t="s">
        <v>7</v>
      </c>
      <c r="G21" s="7" t="s">
        <v>8</v>
      </c>
    </row>
    <row r="22" spans="1:8" ht="12.75">
      <c r="A22" s="11" t="s">
        <v>9</v>
      </c>
      <c r="B22" s="18" t="s">
        <v>10</v>
      </c>
      <c r="C22" s="20">
        <f>D22+E22+F22+G22</f>
        <v>1768355</v>
      </c>
      <c r="D22" s="20">
        <f>D25+D27+D29</f>
        <v>190414</v>
      </c>
      <c r="E22" s="20">
        <f>E25+E27+E29</f>
        <v>310333</v>
      </c>
      <c r="F22" s="20">
        <f>F25+F27+F29</f>
        <v>349705</v>
      </c>
      <c r="G22" s="21">
        <f>G25+G27+G29</f>
        <v>917903</v>
      </c>
      <c r="H22" s="5"/>
    </row>
    <row r="23" spans="1:7" ht="13.5" thickBot="1">
      <c r="A23" s="10"/>
      <c r="B23" s="7" t="s">
        <v>11</v>
      </c>
      <c r="C23" s="15">
        <f>D23+E23+F23+G23</f>
        <v>100</v>
      </c>
      <c r="D23" s="15">
        <f>D22/C22*100</f>
        <v>10.767860525742853</v>
      </c>
      <c r="E23" s="15">
        <f>E22/C22*100</f>
        <v>17.54924774720008</v>
      </c>
      <c r="F23" s="15">
        <f>F22/C22*100</f>
        <v>19.7757237658728</v>
      </c>
      <c r="G23" s="6">
        <f>G22/C22*100</f>
        <v>51.907167961184264</v>
      </c>
    </row>
    <row r="24" spans="1:7" ht="12.75">
      <c r="A24" s="17" t="s">
        <v>12</v>
      </c>
      <c r="B24" s="18"/>
      <c r="C24" s="19"/>
      <c r="D24" s="19"/>
      <c r="E24" s="19"/>
      <c r="F24" s="19"/>
      <c r="G24" s="18"/>
    </row>
    <row r="25" spans="1:7" ht="12.75">
      <c r="A25" s="11" t="s">
        <v>13</v>
      </c>
      <c r="B25" s="18" t="s">
        <v>10</v>
      </c>
      <c r="C25" s="20">
        <f>SUM(D25:G25)</f>
        <v>457193</v>
      </c>
      <c r="D25" s="20">
        <f>22171</f>
        <v>22171</v>
      </c>
      <c r="E25" s="20">
        <f>76172-D25</f>
        <v>54001</v>
      </c>
      <c r="F25" s="20">
        <f>184296-E25-D25</f>
        <v>108124</v>
      </c>
      <c r="G25" s="21">
        <f>457193-E25-D25-F25</f>
        <v>272897</v>
      </c>
    </row>
    <row r="26" spans="1:7" ht="12.75">
      <c r="A26" s="17"/>
      <c r="B26" s="18" t="s">
        <v>11</v>
      </c>
      <c r="C26" s="22">
        <f>D26+E26+F26+G26</f>
        <v>100</v>
      </c>
      <c r="D26" s="22">
        <f>D25/C25*100</f>
        <v>4.849374334252712</v>
      </c>
      <c r="E26" s="22">
        <f>E25/C25*100</f>
        <v>11.811423184519448</v>
      </c>
      <c r="F26" s="22">
        <f>F25/C25*100</f>
        <v>23.649530942074794</v>
      </c>
      <c r="G26" s="23">
        <f>G25/C25*100</f>
        <v>59.689671539153046</v>
      </c>
    </row>
    <row r="27" spans="1:7" ht="12.75">
      <c r="A27" s="11" t="s">
        <v>14</v>
      </c>
      <c r="B27" s="18" t="s">
        <v>10</v>
      </c>
      <c r="C27" s="20">
        <f>D27+E27+F27+G27</f>
        <v>656323</v>
      </c>
      <c r="D27" s="20">
        <v>114510</v>
      </c>
      <c r="E27" s="20">
        <f>264032-D27</f>
        <v>149522</v>
      </c>
      <c r="F27" s="20">
        <f>366296-E27-D27</f>
        <v>102264</v>
      </c>
      <c r="G27" s="21">
        <f>656323-D27-E27-F27</f>
        <v>290027</v>
      </c>
    </row>
    <row r="28" spans="1:7" ht="12.75">
      <c r="A28" s="17"/>
      <c r="B28" s="18" t="s">
        <v>11</v>
      </c>
      <c r="C28" s="22">
        <f>D28+E28+F28+G28</f>
        <v>100</v>
      </c>
      <c r="D28" s="22">
        <f>D27/C27*100</f>
        <v>17.447202063618068</v>
      </c>
      <c r="E28" s="22">
        <f>E27/C27*100</f>
        <v>22.78177056114139</v>
      </c>
      <c r="F28" s="22">
        <f>F27/C27*100</f>
        <v>15.581352474315239</v>
      </c>
      <c r="G28" s="23">
        <f>G27/C27*100</f>
        <v>44.189674900925304</v>
      </c>
    </row>
    <row r="29" spans="1:7" ht="12.75">
      <c r="A29" s="11" t="s">
        <v>15</v>
      </c>
      <c r="B29" s="18" t="s">
        <v>10</v>
      </c>
      <c r="C29" s="20">
        <f>D29+E29+F29+G29</f>
        <v>654839</v>
      </c>
      <c r="D29" s="20">
        <v>53733</v>
      </c>
      <c r="E29" s="20">
        <f>160543-D29</f>
        <v>106810</v>
      </c>
      <c r="F29" s="20">
        <f>299860-E29-D29</f>
        <v>139317</v>
      </c>
      <c r="G29" s="21">
        <f>654839-D29-E29-F29</f>
        <v>354979</v>
      </c>
    </row>
    <row r="30" spans="1:7" ht="13.5" thickBot="1">
      <c r="A30" s="10"/>
      <c r="B30" s="7" t="s">
        <v>11</v>
      </c>
      <c r="C30" s="15">
        <f>D30+E30+F30+G30</f>
        <v>100</v>
      </c>
      <c r="D30" s="15">
        <f>D29/C29*100</f>
        <v>8.205528381785447</v>
      </c>
      <c r="E30" s="15">
        <f>E29/C29*100</f>
        <v>16.310879468082994</v>
      </c>
      <c r="F30" s="15">
        <f>F29/C29*100</f>
        <v>21.27500041995055</v>
      </c>
      <c r="G30" s="6">
        <f>G29/C29*100</f>
        <v>54.20859173018101</v>
      </c>
    </row>
    <row r="32" ht="15.75">
      <c r="A32" s="3" t="s">
        <v>17</v>
      </c>
    </row>
    <row r="33" ht="13.5" thickBot="1"/>
    <row r="34" spans="1:7" ht="12.75">
      <c r="A34" s="8"/>
      <c r="B34" s="9"/>
      <c r="C34" s="12" t="s">
        <v>3</v>
      </c>
      <c r="D34" s="12"/>
      <c r="E34" s="12"/>
      <c r="F34" s="12"/>
      <c r="G34" s="13"/>
    </row>
    <row r="35" spans="1:7" ht="13.5" thickBot="1">
      <c r="A35" s="10"/>
      <c r="B35" s="7"/>
      <c r="C35" s="14" t="s">
        <v>4</v>
      </c>
      <c r="D35" s="14" t="s">
        <v>5</v>
      </c>
      <c r="E35" s="14" t="s">
        <v>6</v>
      </c>
      <c r="F35" s="14" t="s">
        <v>7</v>
      </c>
      <c r="G35" s="7" t="s">
        <v>8</v>
      </c>
    </row>
    <row r="36" spans="1:8" ht="12.75">
      <c r="A36" s="11" t="s">
        <v>9</v>
      </c>
      <c r="B36" s="18" t="s">
        <v>10</v>
      </c>
      <c r="C36" s="20">
        <f>C39+C41+C43</f>
        <v>8634653</v>
      </c>
      <c r="D36" s="20">
        <f>D39+D41+D43</f>
        <v>1375396</v>
      </c>
      <c r="E36" s="20">
        <f>E39+E41+E43</f>
        <v>2215908</v>
      </c>
      <c r="F36" s="20">
        <f>F39+F41+F43</f>
        <v>1975859</v>
      </c>
      <c r="G36" s="21">
        <f>G39+G41+G43</f>
        <v>3067490</v>
      </c>
      <c r="H36" s="5"/>
    </row>
    <row r="37" spans="1:8" ht="13.5" thickBot="1">
      <c r="A37" s="10"/>
      <c r="B37" s="7" t="s">
        <v>11</v>
      </c>
      <c r="C37" s="15">
        <f>D37+E37+F37+G37</f>
        <v>100</v>
      </c>
      <c r="D37" s="15">
        <f>D36/C36*100</f>
        <v>15.928792969445327</v>
      </c>
      <c r="E37" s="15">
        <f>E36/C36*100</f>
        <v>25.662965263340638</v>
      </c>
      <c r="F37" s="15">
        <f>F36/C36*100</f>
        <v>22.88289986870347</v>
      </c>
      <c r="G37" s="6">
        <f>G36/C36*100</f>
        <v>35.52534189851057</v>
      </c>
      <c r="H37" s="5"/>
    </row>
    <row r="38" spans="1:7" ht="12.75">
      <c r="A38" s="17" t="s">
        <v>12</v>
      </c>
      <c r="B38" s="18"/>
      <c r="C38" s="19"/>
      <c r="D38" s="19"/>
      <c r="E38" s="19"/>
      <c r="F38" s="19"/>
      <c r="G38" s="18"/>
    </row>
    <row r="39" spans="1:7" ht="12.75">
      <c r="A39" s="11" t="s">
        <v>13</v>
      </c>
      <c r="B39" s="18" t="s">
        <v>10</v>
      </c>
      <c r="C39" s="20">
        <f aca="true" t="shared" si="1" ref="C39:C44">D39+E39+F39+G39</f>
        <v>1022527</v>
      </c>
      <c r="D39" s="20">
        <v>147578</v>
      </c>
      <c r="E39" s="20">
        <f>383263-D39</f>
        <v>235685</v>
      </c>
      <c r="F39" s="20">
        <f>612793-E39-D39</f>
        <v>229530</v>
      </c>
      <c r="G39" s="21">
        <f>1022527-D39-E39-F39</f>
        <v>409734</v>
      </c>
    </row>
    <row r="40" spans="1:7" ht="12.75">
      <c r="A40" s="17"/>
      <c r="B40" s="18" t="s">
        <v>11</v>
      </c>
      <c r="C40" s="22">
        <f t="shared" si="1"/>
        <v>100</v>
      </c>
      <c r="D40" s="22">
        <f>D39/C39*100</f>
        <v>14.432675127404949</v>
      </c>
      <c r="E40" s="22">
        <f>E39/C39*100</f>
        <v>23.049269114654187</v>
      </c>
      <c r="F40" s="22">
        <f>F39/C39*100</f>
        <v>22.44732901918482</v>
      </c>
      <c r="G40" s="23">
        <f>G39/C39*100</f>
        <v>40.07072673875604</v>
      </c>
    </row>
    <row r="41" spans="1:7" ht="12.75">
      <c r="A41" s="11" t="s">
        <v>14</v>
      </c>
      <c r="B41" s="18" t="s">
        <v>10</v>
      </c>
      <c r="C41" s="20">
        <f t="shared" si="1"/>
        <v>4230182</v>
      </c>
      <c r="D41" s="20">
        <v>666668</v>
      </c>
      <c r="E41" s="20">
        <f>1765373-D41</f>
        <v>1098705</v>
      </c>
      <c r="F41" s="20">
        <f>2735057-E41-D41</f>
        <v>969684</v>
      </c>
      <c r="G41" s="21">
        <f>4230182-D41-E41-F41</f>
        <v>1495125</v>
      </c>
    </row>
    <row r="42" spans="1:7" ht="12.75">
      <c r="A42" s="17"/>
      <c r="B42" s="18" t="s">
        <v>11</v>
      </c>
      <c r="C42" s="22">
        <f t="shared" si="1"/>
        <v>100</v>
      </c>
      <c r="D42" s="22">
        <f>D41/C41*100</f>
        <v>15.759794732236108</v>
      </c>
      <c r="E42" s="22">
        <f>E41/C41*100</f>
        <v>25.972995960930284</v>
      </c>
      <c r="F42" s="22">
        <f>F41/C41*100</f>
        <v>22.922985346729764</v>
      </c>
      <c r="G42" s="23">
        <f>G41/C41*100</f>
        <v>35.34422396010385</v>
      </c>
    </row>
    <row r="43" spans="1:7" ht="12.75">
      <c r="A43" s="11" t="s">
        <v>15</v>
      </c>
      <c r="B43" s="18" t="s">
        <v>10</v>
      </c>
      <c r="C43" s="20">
        <f t="shared" si="1"/>
        <v>3381944</v>
      </c>
      <c r="D43" s="20">
        <v>561150</v>
      </c>
      <c r="E43" s="20">
        <f>1442668-D43</f>
        <v>881518</v>
      </c>
      <c r="F43" s="20">
        <f>2219313-E43-D43</f>
        <v>776645</v>
      </c>
      <c r="G43" s="21">
        <f>3381944-D43-E43-F43</f>
        <v>1162631</v>
      </c>
    </row>
    <row r="44" spans="1:7" ht="13.5" thickBot="1">
      <c r="A44" s="10"/>
      <c r="B44" s="7" t="s">
        <v>11</v>
      </c>
      <c r="C44" s="15">
        <f t="shared" si="1"/>
        <v>99.99999999999999</v>
      </c>
      <c r="D44" s="15">
        <f>D43/C43*100</f>
        <v>16.592527847888668</v>
      </c>
      <c r="E44" s="15">
        <f>E43/C43*100</f>
        <v>26.065422727283476</v>
      </c>
      <c r="F44" s="15">
        <f>F43/C43*100</f>
        <v>22.9644547632959</v>
      </c>
      <c r="G44" s="6">
        <f>G43/C43*100</f>
        <v>34.377594661531944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 xml:space="preserve">&amp;R&amp;"Arial CE,tučné"&amp;12&amp;UPříloha č. 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6">
      <selection activeCell="G25" sqref="G25"/>
    </sheetView>
  </sheetViews>
  <sheetFormatPr defaultColWidth="9.125" defaultRowHeight="12.75"/>
  <cols>
    <col min="1" max="1" width="21.125" style="1" customWidth="1"/>
    <col min="2" max="2" width="16.25390625" style="1" customWidth="1"/>
    <col min="3" max="16384" width="9.125" style="1" customWidth="1"/>
  </cols>
  <sheetData>
    <row r="1" spans="1:7" ht="18.75">
      <c r="A1" s="16" t="s">
        <v>0</v>
      </c>
      <c r="B1" s="2"/>
      <c r="C1" s="2"/>
      <c r="D1" s="2"/>
      <c r="E1" s="2"/>
      <c r="F1" s="2"/>
      <c r="G1" s="2"/>
    </row>
    <row r="2" spans="1:7" ht="18.75">
      <c r="A2" s="16" t="s">
        <v>18</v>
      </c>
      <c r="B2" s="2"/>
      <c r="C2" s="2"/>
      <c r="D2" s="2"/>
      <c r="E2" s="2"/>
      <c r="F2" s="2"/>
      <c r="G2" s="2"/>
    </row>
    <row r="4" ht="15.75">
      <c r="A4" s="3" t="s">
        <v>2</v>
      </c>
    </row>
    <row r="5" ht="13.5" thickBot="1"/>
    <row r="6" spans="1:7" ht="12.75">
      <c r="A6" s="8"/>
      <c r="B6" s="9"/>
      <c r="C6" s="12" t="s">
        <v>19</v>
      </c>
      <c r="D6" s="12"/>
      <c r="E6" s="12"/>
      <c r="F6" s="12"/>
      <c r="G6" s="13"/>
    </row>
    <row r="7" spans="1:7" ht="13.5" thickBot="1">
      <c r="A7" s="10"/>
      <c r="B7" s="7"/>
      <c r="C7" s="14" t="s">
        <v>4</v>
      </c>
      <c r="D7" s="14" t="s">
        <v>5</v>
      </c>
      <c r="E7" s="14" t="s">
        <v>6</v>
      </c>
      <c r="F7" s="14" t="s">
        <v>7</v>
      </c>
      <c r="G7" s="7" t="s">
        <v>8</v>
      </c>
    </row>
    <row r="8" spans="1:8" ht="12.75">
      <c r="A8" s="11" t="s">
        <v>9</v>
      </c>
      <c r="B8" s="18" t="s">
        <v>10</v>
      </c>
      <c r="C8" s="20">
        <f>C11+C13+C15</f>
        <v>11860614</v>
      </c>
      <c r="D8" s="20">
        <f>D11+D13+D15</f>
        <v>1492516.75</v>
      </c>
      <c r="E8" s="20">
        <f>E11+E13+E15</f>
        <v>2675507.25</v>
      </c>
      <c r="F8" s="20">
        <f>F11+F13+F15</f>
        <v>2703557</v>
      </c>
      <c r="G8" s="21">
        <f>G11+G13+G15</f>
        <v>4989033</v>
      </c>
      <c r="H8" s="5"/>
    </row>
    <row r="9" spans="1:7" ht="13.5" thickBot="1">
      <c r="A9" s="10"/>
      <c r="B9" s="7" t="s">
        <v>11</v>
      </c>
      <c r="C9" s="15">
        <f>D9+E9+F9+G9</f>
        <v>100</v>
      </c>
      <c r="D9" s="15">
        <f>D8/C8*100</f>
        <v>12.583806791115537</v>
      </c>
      <c r="E9" s="15">
        <f>E8/C8*100</f>
        <v>22.557915214170194</v>
      </c>
      <c r="F9" s="15">
        <f>F8/C8*100</f>
        <v>22.794410137620194</v>
      </c>
      <c r="G9" s="6">
        <f>G8/C8*100</f>
        <v>42.06386785709408</v>
      </c>
    </row>
    <row r="10" spans="1:7" ht="12.75">
      <c r="A10" s="17" t="s">
        <v>12</v>
      </c>
      <c r="B10" s="18"/>
      <c r="C10" s="19"/>
      <c r="D10" s="19"/>
      <c r="E10" s="19"/>
      <c r="F10" s="19"/>
      <c r="G10" s="18"/>
    </row>
    <row r="11" spans="1:7" ht="12.75">
      <c r="A11" s="11" t="s">
        <v>13</v>
      </c>
      <c r="B11" s="18" t="s">
        <v>10</v>
      </c>
      <c r="C11" s="20">
        <f aca="true" t="shared" si="0" ref="C11:C16">D11+E11+F11+G11</f>
        <v>2641229</v>
      </c>
      <c r="D11" s="20">
        <f>D25+D39</f>
        <v>229330.56</v>
      </c>
      <c r="E11" s="20">
        <f>E25+E39</f>
        <v>417261.44</v>
      </c>
      <c r="F11" s="20">
        <f>F25+F39</f>
        <v>713923</v>
      </c>
      <c r="G11" s="21">
        <f>G25+G39</f>
        <v>1280714</v>
      </c>
    </row>
    <row r="12" spans="1:7" ht="12.75">
      <c r="A12" s="17"/>
      <c r="B12" s="18" t="s">
        <v>11</v>
      </c>
      <c r="C12" s="22">
        <f t="shared" si="0"/>
        <v>100.00000000000001</v>
      </c>
      <c r="D12" s="22">
        <f>D11/C11*100</f>
        <v>8.682721566361721</v>
      </c>
      <c r="E12" s="22">
        <f>E11/C11*100</f>
        <v>15.79800312657479</v>
      </c>
      <c r="F12" s="22">
        <f>F11/C11*100</f>
        <v>27.029954615824682</v>
      </c>
      <c r="G12" s="23">
        <f>G11/C11*100</f>
        <v>48.48932069123882</v>
      </c>
    </row>
    <row r="13" spans="1:7" ht="12.75">
      <c r="A13" s="11" t="s">
        <v>14</v>
      </c>
      <c r="B13" s="18" t="s">
        <v>10</v>
      </c>
      <c r="C13" s="20">
        <f t="shared" si="0"/>
        <v>5234320</v>
      </c>
      <c r="D13" s="20">
        <f>D27+D41</f>
        <v>662306.2000000001</v>
      </c>
      <c r="E13" s="20">
        <f>E27+E41</f>
        <v>1270272.8</v>
      </c>
      <c r="F13" s="20">
        <f>F27+F41</f>
        <v>1089696</v>
      </c>
      <c r="G13" s="21">
        <f>G27+G41</f>
        <v>2212045</v>
      </c>
    </row>
    <row r="14" spans="1:7" ht="12.75">
      <c r="A14" s="17"/>
      <c r="B14" s="18" t="s">
        <v>11</v>
      </c>
      <c r="C14" s="22">
        <f t="shared" si="0"/>
        <v>100</v>
      </c>
      <c r="D14" s="22">
        <f>D13/C13*100</f>
        <v>12.653146922618413</v>
      </c>
      <c r="E14" s="22">
        <f>E13/C13*100</f>
        <v>24.268153265371627</v>
      </c>
      <c r="F14" s="22">
        <f>F13/C13*100</f>
        <v>20.818291583242903</v>
      </c>
      <c r="G14" s="23">
        <f>G13/C13*100</f>
        <v>42.26040822876706</v>
      </c>
    </row>
    <row r="15" spans="1:7" ht="12.75">
      <c r="A15" s="11" t="s">
        <v>15</v>
      </c>
      <c r="B15" s="18" t="s">
        <v>10</v>
      </c>
      <c r="C15" s="20">
        <f t="shared" si="0"/>
        <v>3985065</v>
      </c>
      <c r="D15" s="20">
        <f>D29+D43</f>
        <v>600879.99</v>
      </c>
      <c r="E15" s="20">
        <f>E29+E43</f>
        <v>987973.01</v>
      </c>
      <c r="F15" s="20">
        <f>F29+F43</f>
        <v>899938</v>
      </c>
      <c r="G15" s="21">
        <f>G29+G43</f>
        <v>1496274.0000000002</v>
      </c>
    </row>
    <row r="16" spans="1:7" ht="13.5" thickBot="1">
      <c r="A16" s="10"/>
      <c r="B16" s="7" t="s">
        <v>11</v>
      </c>
      <c r="C16" s="15">
        <f t="shared" si="0"/>
        <v>100</v>
      </c>
      <c r="D16" s="15">
        <f>D15/C15*100</f>
        <v>15.07829834645106</v>
      </c>
      <c r="E16" s="15">
        <f>E15/C15*100</f>
        <v>24.791891976667884</v>
      </c>
      <c r="F16" s="15">
        <f>F15/C15*100</f>
        <v>22.58276841155665</v>
      </c>
      <c r="G16" s="6">
        <f>G15/C15*100</f>
        <v>37.54704126532441</v>
      </c>
    </row>
    <row r="18" ht="15.75">
      <c r="A18" s="4" t="s">
        <v>16</v>
      </c>
    </row>
    <row r="19" ht="13.5" thickBot="1"/>
    <row r="20" spans="1:7" ht="12.75">
      <c r="A20" s="8"/>
      <c r="B20" s="9"/>
      <c r="C20" s="12" t="s">
        <v>19</v>
      </c>
      <c r="D20" s="12"/>
      <c r="E20" s="12"/>
      <c r="F20" s="12"/>
      <c r="G20" s="13"/>
    </row>
    <row r="21" spans="1:7" ht="13.5" thickBot="1">
      <c r="A21" s="10"/>
      <c r="B21" s="7"/>
      <c r="C21" s="14" t="s">
        <v>4</v>
      </c>
      <c r="D21" s="14" t="s">
        <v>5</v>
      </c>
      <c r="E21" s="14" t="s">
        <v>6</v>
      </c>
      <c r="F21" s="14" t="s">
        <v>7</v>
      </c>
      <c r="G21" s="7" t="s">
        <v>8</v>
      </c>
    </row>
    <row r="22" spans="1:8" ht="12.75">
      <c r="A22" s="11" t="s">
        <v>9</v>
      </c>
      <c r="B22" s="18" t="s">
        <v>10</v>
      </c>
      <c r="C22" s="20">
        <f>D22+E22+F22+G22</f>
        <v>2036890</v>
      </c>
      <c r="D22" s="20">
        <f>D25+D27+D29</f>
        <v>127907.66999999998</v>
      </c>
      <c r="E22" s="20">
        <f>E25+E27+E29</f>
        <v>372202.33</v>
      </c>
      <c r="F22" s="20">
        <f>F25+F27+F29</f>
        <v>335619</v>
      </c>
      <c r="G22" s="21">
        <f>G25+G27+G29</f>
        <v>1201161</v>
      </c>
      <c r="H22" s="5"/>
    </row>
    <row r="23" spans="1:7" ht="13.5" thickBot="1">
      <c r="A23" s="10"/>
      <c r="B23" s="7" t="s">
        <v>11</v>
      </c>
      <c r="C23" s="15">
        <f>D23+E23+F23+G23</f>
        <v>100</v>
      </c>
      <c r="D23" s="15">
        <f>D22/C22*100</f>
        <v>6.2795570698466765</v>
      </c>
      <c r="E23" s="15">
        <f>E22/C22*100</f>
        <v>18.273069728851336</v>
      </c>
      <c r="F23" s="15">
        <f>F22/C22*100</f>
        <v>16.477031160249204</v>
      </c>
      <c r="G23" s="6">
        <f>G22/C22*100</f>
        <v>58.97034204105278</v>
      </c>
    </row>
    <row r="24" spans="1:7" ht="12.75">
      <c r="A24" s="17" t="s">
        <v>12</v>
      </c>
      <c r="B24" s="18"/>
      <c r="C24" s="19"/>
      <c r="D24" s="19"/>
      <c r="E24" s="19"/>
      <c r="F24" s="19"/>
      <c r="G24" s="18"/>
    </row>
    <row r="25" spans="1:7" ht="12.75">
      <c r="A25" s="11" t="s">
        <v>13</v>
      </c>
      <c r="B25" s="18" t="s">
        <v>10</v>
      </c>
      <c r="C25" s="20">
        <f>SUM(D25:G25)</f>
        <v>707921</v>
      </c>
      <c r="D25" s="20">
        <v>72316.25</v>
      </c>
      <c r="E25" s="20">
        <f>140373-D25</f>
        <v>68056.75</v>
      </c>
      <c r="F25" s="20">
        <f>288702-E25-D25</f>
        <v>148329</v>
      </c>
      <c r="G25" s="21">
        <f>707921-E25-D25-F25</f>
        <v>419219</v>
      </c>
    </row>
    <row r="26" spans="1:7" ht="12.75">
      <c r="A26" s="17"/>
      <c r="B26" s="18" t="s">
        <v>11</v>
      </c>
      <c r="C26" s="22">
        <f>D26+E26+F26+G26</f>
        <v>100</v>
      </c>
      <c r="D26" s="22">
        <f>D25/C25*100</f>
        <v>10.215299447254708</v>
      </c>
      <c r="E26" s="22">
        <f>E25/C25*100</f>
        <v>9.61360801558366</v>
      </c>
      <c r="F26" s="22">
        <f>F25/C25*100</f>
        <v>20.952761678209857</v>
      </c>
      <c r="G26" s="23">
        <f>G25/C25*100</f>
        <v>59.218330858951774</v>
      </c>
    </row>
    <row r="27" spans="1:7" ht="12.75">
      <c r="A27" s="11" t="s">
        <v>14</v>
      </c>
      <c r="B27" s="18" t="s">
        <v>10</v>
      </c>
      <c r="C27" s="20">
        <f>D27+E27+F27+G27</f>
        <v>728738</v>
      </c>
      <c r="D27" s="20">
        <v>10351.15</v>
      </c>
      <c r="E27" s="20">
        <f>200634-D27</f>
        <v>190282.85</v>
      </c>
      <c r="F27" s="20">
        <f>276317-E27-D27</f>
        <v>75683</v>
      </c>
      <c r="G27" s="21">
        <f>728738-D27-E27-F27</f>
        <v>452421</v>
      </c>
    </row>
    <row r="28" spans="1:7" ht="12.75">
      <c r="A28" s="17"/>
      <c r="B28" s="18" t="s">
        <v>11</v>
      </c>
      <c r="C28" s="22">
        <f>D28+E28+F28+G28</f>
        <v>100</v>
      </c>
      <c r="D28" s="22">
        <f>D27/C27*100</f>
        <v>1.4204213311231195</v>
      </c>
      <c r="E28" s="22">
        <f>E27/C27*100</f>
        <v>26.11128416522811</v>
      </c>
      <c r="F28" s="22">
        <f>F27/C27*100</f>
        <v>10.38548833737228</v>
      </c>
      <c r="G28" s="23">
        <f>G27/C27*100</f>
        <v>62.08280616627649</v>
      </c>
    </row>
    <row r="29" spans="1:7" ht="12.75">
      <c r="A29" s="11" t="s">
        <v>15</v>
      </c>
      <c r="B29" s="18" t="s">
        <v>10</v>
      </c>
      <c r="C29" s="20">
        <f>D29+E29+F29+G29</f>
        <v>600231</v>
      </c>
      <c r="D29" s="20">
        <v>45240.27</v>
      </c>
      <c r="E29" s="20">
        <f>159103-D29</f>
        <v>113862.73000000001</v>
      </c>
      <c r="F29" s="20">
        <f>270710-E29-D29</f>
        <v>111607</v>
      </c>
      <c r="G29" s="21">
        <f>600231-D29-E29-F29</f>
        <v>329521</v>
      </c>
    </row>
    <row r="30" spans="1:7" ht="13.5" thickBot="1">
      <c r="A30" s="10"/>
      <c r="B30" s="7" t="s">
        <v>11</v>
      </c>
      <c r="C30" s="15">
        <f>D30+E30+F30+G30</f>
        <v>100</v>
      </c>
      <c r="D30" s="15">
        <f>D29/C29*100</f>
        <v>7.5371431998680505</v>
      </c>
      <c r="E30" s="15">
        <f>E29/C29*100</f>
        <v>18.969818286626317</v>
      </c>
      <c r="F30" s="15">
        <f>F29/C29*100</f>
        <v>18.59400797359683</v>
      </c>
      <c r="G30" s="6">
        <f>G29/C29*100</f>
        <v>54.8990305399088</v>
      </c>
    </row>
    <row r="32" ht="15.75">
      <c r="A32" s="3" t="s">
        <v>17</v>
      </c>
    </row>
    <row r="33" ht="13.5" thickBot="1"/>
    <row r="34" spans="1:7" ht="12.75">
      <c r="A34" s="8"/>
      <c r="B34" s="9"/>
      <c r="C34" s="12" t="s">
        <v>19</v>
      </c>
      <c r="D34" s="12"/>
      <c r="E34" s="12"/>
      <c r="F34" s="12"/>
      <c r="G34" s="13"/>
    </row>
    <row r="35" spans="1:7" ht="13.5" thickBot="1">
      <c r="A35" s="10"/>
      <c r="B35" s="7"/>
      <c r="C35" s="14" t="s">
        <v>4</v>
      </c>
      <c r="D35" s="14" t="s">
        <v>5</v>
      </c>
      <c r="E35" s="14" t="s">
        <v>6</v>
      </c>
      <c r="F35" s="14" t="s">
        <v>7</v>
      </c>
      <c r="G35" s="7" t="s">
        <v>8</v>
      </c>
    </row>
    <row r="36" spans="1:8" ht="12.75">
      <c r="A36" s="11" t="s">
        <v>9</v>
      </c>
      <c r="B36" s="18" t="s">
        <v>10</v>
      </c>
      <c r="C36" s="20">
        <f>C39+C41+C43</f>
        <v>9823724</v>
      </c>
      <c r="D36" s="20">
        <f>D39+D41+D43</f>
        <v>1364609.08</v>
      </c>
      <c r="E36" s="20">
        <f>E39+E41+E43</f>
        <v>2303304.92</v>
      </c>
      <c r="F36" s="20">
        <f>F39+F41+F43</f>
        <v>2367938</v>
      </c>
      <c r="G36" s="21">
        <f>G39+G41+G43</f>
        <v>3787872</v>
      </c>
      <c r="H36" s="5"/>
    </row>
    <row r="37" spans="1:8" ht="13.5" thickBot="1">
      <c r="A37" s="10"/>
      <c r="B37" s="7" t="s">
        <v>11</v>
      </c>
      <c r="C37" s="15">
        <f>D37+E37+F37+G37</f>
        <v>100</v>
      </c>
      <c r="D37" s="15">
        <f>D36/C36*100</f>
        <v>13.890954998328537</v>
      </c>
      <c r="E37" s="15">
        <f>E36/C36*100</f>
        <v>23.44635211657005</v>
      </c>
      <c r="F37" s="15">
        <f>F36/C36*100</f>
        <v>24.104280617004306</v>
      </c>
      <c r="G37" s="6">
        <f>G36/C36*100</f>
        <v>38.55841226809711</v>
      </c>
      <c r="H37" s="5"/>
    </row>
    <row r="38" spans="1:7" ht="12.75">
      <c r="A38" s="17" t="s">
        <v>12</v>
      </c>
      <c r="B38" s="18"/>
      <c r="C38" s="19"/>
      <c r="D38" s="19"/>
      <c r="E38" s="19"/>
      <c r="F38" s="19"/>
      <c r="G38" s="18"/>
    </row>
    <row r="39" spans="1:7" ht="12.75">
      <c r="A39" s="11" t="s">
        <v>13</v>
      </c>
      <c r="B39" s="18" t="s">
        <v>10</v>
      </c>
      <c r="C39" s="20">
        <f aca="true" t="shared" si="1" ref="C39:C44">D39+E39+F39+G39</f>
        <v>1933308</v>
      </c>
      <c r="D39" s="20">
        <v>157014.31</v>
      </c>
      <c r="E39" s="20">
        <f>506219-D39</f>
        <v>349204.69</v>
      </c>
      <c r="F39" s="20">
        <f>1071813-E39-D39</f>
        <v>565594</v>
      </c>
      <c r="G39" s="21">
        <f>1933308-D39-E39-F39</f>
        <v>861495</v>
      </c>
    </row>
    <row r="40" spans="1:7" ht="12.75">
      <c r="A40" s="17"/>
      <c r="B40" s="18" t="s">
        <v>11</v>
      </c>
      <c r="C40" s="22">
        <f t="shared" si="1"/>
        <v>100</v>
      </c>
      <c r="D40" s="22">
        <f>D39/C39*100</f>
        <v>8.12153624771635</v>
      </c>
      <c r="E40" s="22">
        <f>E39/C39*100</f>
        <v>18.062548233390643</v>
      </c>
      <c r="F40" s="22">
        <f>F39/C39*100</f>
        <v>29.255245413560594</v>
      </c>
      <c r="G40" s="23">
        <f>G39/C39*100</f>
        <v>44.56067010533242</v>
      </c>
    </row>
    <row r="41" spans="1:7" ht="12.75">
      <c r="A41" s="11" t="s">
        <v>14</v>
      </c>
      <c r="B41" s="18" t="s">
        <v>10</v>
      </c>
      <c r="C41" s="20">
        <f t="shared" si="1"/>
        <v>4505582</v>
      </c>
      <c r="D41" s="20">
        <v>651955.05</v>
      </c>
      <c r="E41" s="20">
        <f>1731945-D41</f>
        <v>1079989.95</v>
      </c>
      <c r="F41" s="20">
        <f>2745958-E41-D41</f>
        <v>1014013</v>
      </c>
      <c r="G41" s="21">
        <f>4505582-D41-E41-F41</f>
        <v>1759624</v>
      </c>
    </row>
    <row r="42" spans="1:7" ht="12.75">
      <c r="A42" s="17"/>
      <c r="B42" s="18" t="s">
        <v>11</v>
      </c>
      <c r="C42" s="22">
        <f t="shared" si="1"/>
        <v>100</v>
      </c>
      <c r="D42" s="22">
        <f>D41/C41*100</f>
        <v>14.469940842270768</v>
      </c>
      <c r="E42" s="22">
        <f>E41/C41*100</f>
        <v>23.970043159796003</v>
      </c>
      <c r="F42" s="22">
        <f>F41/C41*100</f>
        <v>22.505705145306422</v>
      </c>
      <c r="G42" s="23">
        <f>G41/C41*100</f>
        <v>39.054310852626806</v>
      </c>
    </row>
    <row r="43" spans="1:7" ht="12.75">
      <c r="A43" s="11" t="s">
        <v>15</v>
      </c>
      <c r="B43" s="18" t="s">
        <v>10</v>
      </c>
      <c r="C43" s="20">
        <f t="shared" si="1"/>
        <v>3384834</v>
      </c>
      <c r="D43" s="20">
        <v>555639.72</v>
      </c>
      <c r="E43" s="20">
        <f>1429750-D43</f>
        <v>874110.28</v>
      </c>
      <c r="F43" s="20">
        <f>2218081-E43-D43</f>
        <v>788331</v>
      </c>
      <c r="G43" s="21">
        <f>3384834-D43-E43-F43</f>
        <v>1166753.0000000002</v>
      </c>
    </row>
    <row r="44" spans="1:7" ht="13.5" thickBot="1">
      <c r="A44" s="10"/>
      <c r="B44" s="7" t="s">
        <v>11</v>
      </c>
      <c r="C44" s="15">
        <f t="shared" si="1"/>
        <v>100</v>
      </c>
      <c r="D44" s="15">
        <f>D43/C43*100</f>
        <v>16.415567794462003</v>
      </c>
      <c r="E44" s="15">
        <f>E43/C43*100</f>
        <v>25.824317529308676</v>
      </c>
      <c r="F44" s="15">
        <f>F43/C43*100</f>
        <v>23.290093398967276</v>
      </c>
      <c r="G44" s="6">
        <f>G43/C43*100</f>
        <v>34.470021277262056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4">
      <selection activeCell="E29" sqref="E29"/>
    </sheetView>
  </sheetViews>
  <sheetFormatPr defaultColWidth="9.125" defaultRowHeight="12.75"/>
  <cols>
    <col min="1" max="1" width="21.125" style="1" customWidth="1"/>
    <col min="2" max="2" width="16.25390625" style="1" customWidth="1"/>
    <col min="3" max="16384" width="9.125" style="1" customWidth="1"/>
  </cols>
  <sheetData>
    <row r="1" spans="1:7" ht="18.75">
      <c r="A1" s="16" t="s">
        <v>0</v>
      </c>
      <c r="B1" s="2"/>
      <c r="C1" s="2"/>
      <c r="D1" s="2"/>
      <c r="E1" s="2"/>
      <c r="F1" s="2"/>
      <c r="G1" s="2"/>
    </row>
    <row r="2" spans="1:7" ht="18.75">
      <c r="A2" s="16" t="s">
        <v>21</v>
      </c>
      <c r="B2" s="2"/>
      <c r="C2" s="2"/>
      <c r="D2" s="2"/>
      <c r="E2" s="2"/>
      <c r="F2" s="2"/>
      <c r="G2" s="2"/>
    </row>
    <row r="4" ht="15.75">
      <c r="A4" s="3" t="s">
        <v>2</v>
      </c>
    </row>
    <row r="5" ht="13.5" thickBot="1"/>
    <row r="6" spans="1:7" ht="12.75">
      <c r="A6" s="8"/>
      <c r="B6" s="9"/>
      <c r="C6" s="12" t="s">
        <v>20</v>
      </c>
      <c r="D6" s="12"/>
      <c r="E6" s="12"/>
      <c r="F6" s="12"/>
      <c r="G6" s="13"/>
    </row>
    <row r="7" spans="1:7" ht="13.5" thickBot="1">
      <c r="A7" s="10"/>
      <c r="B7" s="7"/>
      <c r="C7" s="14" t="s">
        <v>4</v>
      </c>
      <c r="D7" s="14" t="s">
        <v>5</v>
      </c>
      <c r="E7" s="14" t="s">
        <v>6</v>
      </c>
      <c r="F7" s="14" t="s">
        <v>7</v>
      </c>
      <c r="G7" s="7" t="s">
        <v>8</v>
      </c>
    </row>
    <row r="8" spans="1:8" ht="12.75">
      <c r="A8" s="11" t="s">
        <v>9</v>
      </c>
      <c r="B8" s="18" t="s">
        <v>10</v>
      </c>
      <c r="C8" s="20">
        <f>C11+C13+C15</f>
        <v>12332221</v>
      </c>
      <c r="D8" s="20">
        <f>D11+D13+D15</f>
        <v>1818747</v>
      </c>
      <c r="E8" s="20">
        <f>E11+E13+E15</f>
        <v>2786461</v>
      </c>
      <c r="F8" s="20">
        <f>F11+F13+F15</f>
        <v>2757240</v>
      </c>
      <c r="G8" s="21">
        <f>G11+G13+G15</f>
        <v>4969773</v>
      </c>
      <c r="H8" s="5"/>
    </row>
    <row r="9" spans="1:7" ht="13.5" thickBot="1">
      <c r="A9" s="10"/>
      <c r="B9" s="7" t="s">
        <v>11</v>
      </c>
      <c r="C9" s="15">
        <f>D9+E9+F9+G9</f>
        <v>100</v>
      </c>
      <c r="D9" s="15">
        <f>D8/C8*100</f>
        <v>14.747927400911806</v>
      </c>
      <c r="E9" s="15">
        <f>E8/C8*100</f>
        <v>22.59496484858648</v>
      </c>
      <c r="F9" s="15">
        <f>F8/C8*100</f>
        <v>22.35801645137563</v>
      </c>
      <c r="G9" s="6">
        <f>G8/C8*100</f>
        <v>40.29909129912609</v>
      </c>
    </row>
    <row r="10" spans="1:7" ht="12.75">
      <c r="A10" s="17" t="s">
        <v>12</v>
      </c>
      <c r="B10" s="18"/>
      <c r="C10" s="19"/>
      <c r="D10" s="19"/>
      <c r="E10" s="19"/>
      <c r="F10" s="19"/>
      <c r="G10" s="18"/>
    </row>
    <row r="11" spans="1:7" ht="12.75">
      <c r="A11" s="11" t="s">
        <v>13</v>
      </c>
      <c r="B11" s="18" t="s">
        <v>10</v>
      </c>
      <c r="C11" s="20">
        <f aca="true" t="shared" si="0" ref="C11:C16">D11+E11+F11+G11</f>
        <v>2078135</v>
      </c>
      <c r="D11" s="20">
        <f>D25+D39</f>
        <v>277653</v>
      </c>
      <c r="E11" s="20">
        <f>E25+E39</f>
        <v>406675</v>
      </c>
      <c r="F11" s="20">
        <f>F25+F39</f>
        <v>406002</v>
      </c>
      <c r="G11" s="21">
        <f>G25+G39</f>
        <v>987805</v>
      </c>
    </row>
    <row r="12" spans="1:7" ht="12.75">
      <c r="A12" s="17"/>
      <c r="B12" s="18" t="s">
        <v>11</v>
      </c>
      <c r="C12" s="22">
        <f t="shared" si="0"/>
        <v>100</v>
      </c>
      <c r="D12" s="22">
        <f>D11/C11*100</f>
        <v>13.360681572660102</v>
      </c>
      <c r="E12" s="22">
        <f>E11/C11*100</f>
        <v>19.569229140551503</v>
      </c>
      <c r="F12" s="22">
        <f>F11/C11*100</f>
        <v>19.536844333982152</v>
      </c>
      <c r="G12" s="23">
        <f>G11/C11*100</f>
        <v>47.53324495280624</v>
      </c>
    </row>
    <row r="13" spans="1:7" ht="12.75">
      <c r="A13" s="11" t="s">
        <v>14</v>
      </c>
      <c r="B13" s="18" t="s">
        <v>10</v>
      </c>
      <c r="C13" s="20">
        <f t="shared" si="0"/>
        <v>5933804</v>
      </c>
      <c r="D13" s="20">
        <f>D27+D41</f>
        <v>878176</v>
      </c>
      <c r="E13" s="20">
        <f>E27+E41</f>
        <v>1342399</v>
      </c>
      <c r="F13" s="20">
        <f>F27+F41</f>
        <v>1348615</v>
      </c>
      <c r="G13" s="21">
        <f>G27+G41</f>
        <v>2364614</v>
      </c>
    </row>
    <row r="14" spans="1:7" ht="12.75">
      <c r="A14" s="17"/>
      <c r="B14" s="18" t="s">
        <v>11</v>
      </c>
      <c r="C14" s="22">
        <f t="shared" si="0"/>
        <v>100</v>
      </c>
      <c r="D14" s="22">
        <f>D13/C13*100</f>
        <v>14.799545114735842</v>
      </c>
      <c r="E14" s="22">
        <f>E13/C13*100</f>
        <v>22.62290766597616</v>
      </c>
      <c r="F14" s="22">
        <f>F13/C13*100</f>
        <v>22.727663401083014</v>
      </c>
      <c r="G14" s="23">
        <f>G13/C13*100</f>
        <v>39.84988381820499</v>
      </c>
    </row>
    <row r="15" spans="1:7" ht="12.75">
      <c r="A15" s="11" t="s">
        <v>15</v>
      </c>
      <c r="B15" s="18" t="s">
        <v>10</v>
      </c>
      <c r="C15" s="20">
        <f t="shared" si="0"/>
        <v>4320282</v>
      </c>
      <c r="D15" s="20">
        <f>D29+D43</f>
        <v>662918</v>
      </c>
      <c r="E15" s="20">
        <f>E29+E43</f>
        <v>1037387</v>
      </c>
      <c r="F15" s="20">
        <f>F29+F43</f>
        <v>1002623</v>
      </c>
      <c r="G15" s="21">
        <f>G29+G43</f>
        <v>1617354</v>
      </c>
    </row>
    <row r="16" spans="1:7" ht="13.5" thickBot="1">
      <c r="A16" s="10"/>
      <c r="B16" s="7" t="s">
        <v>11</v>
      </c>
      <c r="C16" s="15">
        <f t="shared" si="0"/>
        <v>100</v>
      </c>
      <c r="D16" s="15">
        <f>D15/C15*100</f>
        <v>15.344322430804286</v>
      </c>
      <c r="E16" s="15">
        <f>E15/C15*100</f>
        <v>24.01202051162401</v>
      </c>
      <c r="F16" s="15">
        <f>F15/C15*100</f>
        <v>23.20735081645133</v>
      </c>
      <c r="G16" s="6">
        <f>G15/C15*100</f>
        <v>37.43630624112037</v>
      </c>
    </row>
    <row r="18" ht="15.75">
      <c r="A18" s="4" t="s">
        <v>16</v>
      </c>
    </row>
    <row r="19" ht="13.5" thickBot="1"/>
    <row r="20" spans="1:7" ht="12.75">
      <c r="A20" s="8"/>
      <c r="B20" s="9"/>
      <c r="C20" s="12" t="s">
        <v>20</v>
      </c>
      <c r="D20" s="12"/>
      <c r="E20" s="12"/>
      <c r="F20" s="12"/>
      <c r="G20" s="13"/>
    </row>
    <row r="21" spans="1:7" ht="13.5" thickBot="1">
      <c r="A21" s="10"/>
      <c r="B21" s="7"/>
      <c r="C21" s="14" t="s">
        <v>4</v>
      </c>
      <c r="D21" s="14" t="s">
        <v>5</v>
      </c>
      <c r="E21" s="14" t="s">
        <v>6</v>
      </c>
      <c r="F21" s="14" t="s">
        <v>7</v>
      </c>
      <c r="G21" s="7" t="s">
        <v>8</v>
      </c>
    </row>
    <row r="22" spans="1:8" ht="12.75">
      <c r="A22" s="11" t="s">
        <v>9</v>
      </c>
      <c r="B22" s="18" t="s">
        <v>10</v>
      </c>
      <c r="C22" s="20">
        <f>D22+E22+F22+G22</f>
        <v>1998985</v>
      </c>
      <c r="D22" s="20">
        <f>D25+D27+D29</f>
        <v>236260</v>
      </c>
      <c r="E22" s="20">
        <f>E25+E27+E29</f>
        <v>244552</v>
      </c>
      <c r="F22" s="20">
        <f>F25+F27+F29</f>
        <v>360529</v>
      </c>
      <c r="G22" s="21">
        <f>G25+G27+G29</f>
        <v>1157644</v>
      </c>
      <c r="H22" s="5"/>
    </row>
    <row r="23" spans="1:7" ht="13.5" thickBot="1">
      <c r="A23" s="10"/>
      <c r="B23" s="7" t="s">
        <v>11</v>
      </c>
      <c r="C23" s="15">
        <f>D23+E23+F23+G23</f>
        <v>100</v>
      </c>
      <c r="D23" s="15">
        <f>D22/C22*100</f>
        <v>11.81899814155684</v>
      </c>
      <c r="E23" s="15">
        <f>E22/C22*100</f>
        <v>12.233808657893881</v>
      </c>
      <c r="F23" s="15">
        <f>F22/C22*100</f>
        <v>18.035603068557293</v>
      </c>
      <c r="G23" s="6">
        <f>G22/C22*100</f>
        <v>57.911590131991986</v>
      </c>
    </row>
    <row r="24" spans="1:7" ht="12.75">
      <c r="A24" s="17" t="s">
        <v>12</v>
      </c>
      <c r="B24" s="18"/>
      <c r="C24" s="19"/>
      <c r="D24" s="19"/>
      <c r="E24" s="19"/>
      <c r="F24" s="19"/>
      <c r="G24" s="18"/>
    </row>
    <row r="25" spans="1:7" ht="12.75">
      <c r="A25" s="11" t="s">
        <v>13</v>
      </c>
      <c r="B25" s="18" t="s">
        <v>10</v>
      </c>
      <c r="C25" s="20">
        <f>SUM(D25:G25)</f>
        <v>578408</v>
      </c>
      <c r="D25" s="20">
        <v>82765</v>
      </c>
      <c r="E25" s="20">
        <f>156793-D25</f>
        <v>74028</v>
      </c>
      <c r="F25" s="20">
        <f>251648-82765-74028</f>
        <v>94855</v>
      </c>
      <c r="G25" s="21">
        <f>578408-E25-D25-F25</f>
        <v>326760</v>
      </c>
    </row>
    <row r="26" spans="1:7" ht="12.75">
      <c r="A26" s="17"/>
      <c r="B26" s="18" t="s">
        <v>11</v>
      </c>
      <c r="C26" s="22">
        <f>D26+E26+F26+G26</f>
        <v>100</v>
      </c>
      <c r="D26" s="22">
        <f>D25/C25*100</f>
        <v>14.30910360852547</v>
      </c>
      <c r="E26" s="22">
        <f>E25/C25*100</f>
        <v>12.79857816627709</v>
      </c>
      <c r="F26" s="22">
        <f>F25/C25*100</f>
        <v>16.399323660806907</v>
      </c>
      <c r="G26" s="23">
        <f>G25/C25*100</f>
        <v>56.49299456439053</v>
      </c>
    </row>
    <row r="27" spans="1:7" ht="12.75">
      <c r="A27" s="11" t="s">
        <v>14</v>
      </c>
      <c r="B27" s="18" t="s">
        <v>10</v>
      </c>
      <c r="C27" s="20">
        <f>D27+E27+F27+G27</f>
        <v>768804</v>
      </c>
      <c r="D27" s="20">
        <v>101582</v>
      </c>
      <c r="E27" s="20">
        <f>177747-D27</f>
        <v>76165</v>
      </c>
      <c r="F27" s="20">
        <f>280226-101582-76165</f>
        <v>102479</v>
      </c>
      <c r="G27" s="21">
        <f>768804-E27-D27-F27</f>
        <v>488578</v>
      </c>
    </row>
    <row r="28" spans="1:7" ht="12.75">
      <c r="A28" s="17"/>
      <c r="B28" s="18" t="s">
        <v>11</v>
      </c>
      <c r="C28" s="22">
        <f>D28+E28+F28+G28</f>
        <v>100</v>
      </c>
      <c r="D28" s="22">
        <f>D27/C27*100</f>
        <v>13.212990567166663</v>
      </c>
      <c r="E28" s="22">
        <f>E27/C27*100</f>
        <v>9.90694637384821</v>
      </c>
      <c r="F28" s="22">
        <f>F27/C27*100</f>
        <v>13.3296652983075</v>
      </c>
      <c r="G28" s="23">
        <f>G27/C27*100</f>
        <v>63.550397760677626</v>
      </c>
    </row>
    <row r="29" spans="1:7" ht="12.75">
      <c r="A29" s="11" t="s">
        <v>15</v>
      </c>
      <c r="B29" s="18" t="s">
        <v>10</v>
      </c>
      <c r="C29" s="20">
        <f>D29+E29+F29+G29</f>
        <v>651773</v>
      </c>
      <c r="D29" s="20">
        <v>51913</v>
      </c>
      <c r="E29" s="20">
        <f>146272-D29</f>
        <v>94359</v>
      </c>
      <c r="F29" s="20">
        <f>309467-51913-94359</f>
        <v>163195</v>
      </c>
      <c r="G29" s="21">
        <f>651773-D29-E29-F29</f>
        <v>342306</v>
      </c>
    </row>
    <row r="30" spans="1:7" ht="13.5" thickBot="1">
      <c r="A30" s="10"/>
      <c r="B30" s="7" t="s">
        <v>11</v>
      </c>
      <c r="C30" s="15">
        <f>D30+E30+F30+G30</f>
        <v>100</v>
      </c>
      <c r="D30" s="15">
        <f>D29/C29*100</f>
        <v>7.964889616476903</v>
      </c>
      <c r="E30" s="15">
        <f>E29/C29*100</f>
        <v>14.477279666386917</v>
      </c>
      <c r="F30" s="15">
        <f>F29/C29*100</f>
        <v>25.03862541099432</v>
      </c>
      <c r="G30" s="6">
        <f>G29/C29*100</f>
        <v>52.519205306141856</v>
      </c>
    </row>
    <row r="32" ht="15.75">
      <c r="A32" s="3" t="s">
        <v>17</v>
      </c>
    </row>
    <row r="33" ht="13.5" thickBot="1"/>
    <row r="34" spans="1:7" ht="12.75">
      <c r="A34" s="8"/>
      <c r="B34" s="9"/>
      <c r="C34" s="12" t="s">
        <v>20</v>
      </c>
      <c r="D34" s="12"/>
      <c r="E34" s="12"/>
      <c r="F34" s="12"/>
      <c r="G34" s="13"/>
    </row>
    <row r="35" spans="1:7" ht="13.5" thickBot="1">
      <c r="A35" s="10"/>
      <c r="B35" s="7"/>
      <c r="C35" s="14" t="s">
        <v>4</v>
      </c>
      <c r="D35" s="14" t="s">
        <v>5</v>
      </c>
      <c r="E35" s="14" t="s">
        <v>6</v>
      </c>
      <c r="F35" s="14" t="s">
        <v>7</v>
      </c>
      <c r="G35" s="7" t="s">
        <v>8</v>
      </c>
    </row>
    <row r="36" spans="1:8" ht="12.75">
      <c r="A36" s="11" t="s">
        <v>9</v>
      </c>
      <c r="B36" s="18" t="s">
        <v>10</v>
      </c>
      <c r="C36" s="20">
        <f>C39+C41+C43</f>
        <v>10333236</v>
      </c>
      <c r="D36" s="20">
        <f>D39+D41+D43</f>
        <v>1582487</v>
      </c>
      <c r="E36" s="20">
        <f>E39+E41+E43</f>
        <v>2541909</v>
      </c>
      <c r="F36" s="20">
        <f>F39+F41+F43</f>
        <v>2396711</v>
      </c>
      <c r="G36" s="21">
        <f>G39+G41+G43</f>
        <v>3812129</v>
      </c>
      <c r="H36" s="5"/>
    </row>
    <row r="37" spans="1:8" ht="13.5" thickBot="1">
      <c r="A37" s="10"/>
      <c r="B37" s="7" t="s">
        <v>11</v>
      </c>
      <c r="C37" s="15">
        <f>D37+E37+F37+G37</f>
        <v>100</v>
      </c>
      <c r="D37" s="15">
        <f>D36/C36*100</f>
        <v>15.314534575616005</v>
      </c>
      <c r="E37" s="15">
        <f>E36/C36*100</f>
        <v>24.599351064855192</v>
      </c>
      <c r="F37" s="15">
        <f>F36/C36*100</f>
        <v>23.19419589371616</v>
      </c>
      <c r="G37" s="6">
        <f>G36/C36*100</f>
        <v>36.891918465812644</v>
      </c>
      <c r="H37" s="5"/>
    </row>
    <row r="38" spans="1:7" ht="12.75">
      <c r="A38" s="17" t="s">
        <v>12</v>
      </c>
      <c r="B38" s="18"/>
      <c r="C38" s="19"/>
      <c r="D38" s="19"/>
      <c r="E38" s="19"/>
      <c r="F38" s="19"/>
      <c r="G38" s="18"/>
    </row>
    <row r="39" spans="1:7" ht="12.75">
      <c r="A39" s="11" t="s">
        <v>13</v>
      </c>
      <c r="B39" s="18" t="s">
        <v>10</v>
      </c>
      <c r="C39" s="20">
        <f aca="true" t="shared" si="1" ref="C39:C44">D39+E39+F39+G39</f>
        <v>1499727</v>
      </c>
      <c r="D39" s="20">
        <v>194888</v>
      </c>
      <c r="E39" s="20">
        <f>527535-D39</f>
        <v>332647</v>
      </c>
      <c r="F39" s="20">
        <f>838682-194888-332647</f>
        <v>311147</v>
      </c>
      <c r="G39" s="21">
        <f>1499727-E39-D39-F39</f>
        <v>661045</v>
      </c>
    </row>
    <row r="40" spans="1:7" ht="12.75">
      <c r="A40" s="17"/>
      <c r="B40" s="18" t="s">
        <v>11</v>
      </c>
      <c r="C40" s="22">
        <f t="shared" si="1"/>
        <v>100</v>
      </c>
      <c r="D40" s="22">
        <f>D39/C39*100</f>
        <v>12.994898404843013</v>
      </c>
      <c r="E40" s="22">
        <f>E39/C39*100</f>
        <v>22.180503518307</v>
      </c>
      <c r="F40" s="22">
        <f>F39/C39*100</f>
        <v>20.746909270820623</v>
      </c>
      <c r="G40" s="23">
        <f>G39/C39*100</f>
        <v>44.077688806029364</v>
      </c>
    </row>
    <row r="41" spans="1:7" ht="12.75">
      <c r="A41" s="11" t="s">
        <v>14</v>
      </c>
      <c r="B41" s="18" t="s">
        <v>10</v>
      </c>
      <c r="C41" s="20">
        <f t="shared" si="1"/>
        <v>5165000</v>
      </c>
      <c r="D41" s="20">
        <v>776594</v>
      </c>
      <c r="E41" s="20">
        <f>2042828-D41</f>
        <v>1266234</v>
      </c>
      <c r="F41" s="20">
        <f>3288964-D41-1266234</f>
        <v>1246136</v>
      </c>
      <c r="G41" s="21">
        <f>5165000-E41-D41-F41</f>
        <v>1876036</v>
      </c>
    </row>
    <row r="42" spans="1:7" ht="12.75">
      <c r="A42" s="17"/>
      <c r="B42" s="18" t="s">
        <v>11</v>
      </c>
      <c r="C42" s="22">
        <f t="shared" si="1"/>
        <v>100</v>
      </c>
      <c r="D42" s="22">
        <f>D41/C41*100</f>
        <v>15.035701839303</v>
      </c>
      <c r="E42" s="22">
        <f>E41/C41*100</f>
        <v>24.515663117134558</v>
      </c>
      <c r="F42" s="22">
        <f>F41/C41*100</f>
        <v>24.126544046466602</v>
      </c>
      <c r="G42" s="23">
        <f>G41/C41*100</f>
        <v>36.322090997095835</v>
      </c>
    </row>
    <row r="43" spans="1:7" ht="12.75">
      <c r="A43" s="11" t="s">
        <v>15</v>
      </c>
      <c r="B43" s="18" t="s">
        <v>10</v>
      </c>
      <c r="C43" s="20">
        <f t="shared" si="1"/>
        <v>3668509</v>
      </c>
      <c r="D43" s="20">
        <v>611005</v>
      </c>
      <c r="E43" s="20">
        <f>1554033-D43</f>
        <v>943028</v>
      </c>
      <c r="F43" s="20">
        <f>2393461-D43-943028</f>
        <v>839428</v>
      </c>
      <c r="G43" s="21">
        <f>3668509-E43-D43-F43</f>
        <v>1275048</v>
      </c>
    </row>
    <row r="44" spans="1:7" ht="13.5" thickBot="1">
      <c r="A44" s="10"/>
      <c r="B44" s="7" t="s">
        <v>11</v>
      </c>
      <c r="C44" s="15">
        <f t="shared" si="1"/>
        <v>100</v>
      </c>
      <c r="D44" s="15">
        <f>D43/C43*100</f>
        <v>16.655404143754314</v>
      </c>
      <c r="E44" s="15">
        <f>E43/C43*100</f>
        <v>25.706029343256347</v>
      </c>
      <c r="F44" s="15">
        <f>F43/C43*100</f>
        <v>22.881993747323502</v>
      </c>
      <c r="G44" s="6">
        <f>G43/C43*100</f>
        <v>34.75657276566583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K37" sqref="K37"/>
    </sheetView>
  </sheetViews>
  <sheetFormatPr defaultColWidth="9.125" defaultRowHeight="12.75"/>
  <cols>
    <col min="1" max="1" width="21.875" style="1" customWidth="1"/>
    <col min="2" max="2" width="16.25390625" style="1" customWidth="1"/>
    <col min="3" max="16384" width="9.125" style="1" customWidth="1"/>
  </cols>
  <sheetData>
    <row r="1" spans="1:7" ht="18.75">
      <c r="A1" s="16" t="s">
        <v>0</v>
      </c>
      <c r="B1" s="2"/>
      <c r="C1" s="2"/>
      <c r="D1" s="2"/>
      <c r="E1" s="2"/>
      <c r="F1" s="2"/>
      <c r="G1" s="2"/>
    </row>
    <row r="2" spans="1:7" ht="18.75">
      <c r="A2" s="16" t="s">
        <v>22</v>
      </c>
      <c r="B2" s="2"/>
      <c r="C2" s="2"/>
      <c r="D2" s="2"/>
      <c r="E2" s="2"/>
      <c r="F2" s="2"/>
      <c r="G2" s="2"/>
    </row>
    <row r="4" ht="15.75">
      <c r="A4" s="3" t="s">
        <v>2</v>
      </c>
    </row>
    <row r="5" ht="13.5" thickBot="1"/>
    <row r="6" spans="1:7" ht="12.75">
      <c r="A6" s="8"/>
      <c r="B6" s="9"/>
      <c r="C6" s="12" t="s">
        <v>23</v>
      </c>
      <c r="D6" s="12"/>
      <c r="E6" s="12"/>
      <c r="F6" s="12"/>
      <c r="G6" s="13"/>
    </row>
    <row r="7" spans="1:7" ht="13.5" thickBot="1">
      <c r="A7" s="10"/>
      <c r="B7" s="7"/>
      <c r="C7" s="14" t="s">
        <v>4</v>
      </c>
      <c r="D7" s="14" t="s">
        <v>5</v>
      </c>
      <c r="E7" s="14" t="s">
        <v>6</v>
      </c>
      <c r="F7" s="14" t="s">
        <v>7</v>
      </c>
      <c r="G7" s="7" t="s">
        <v>8</v>
      </c>
    </row>
    <row r="8" spans="1:8" ht="12.75">
      <c r="A8" s="11" t="s">
        <v>9</v>
      </c>
      <c r="B8" s="18" t="s">
        <v>10</v>
      </c>
      <c r="C8" s="20">
        <f>C11+C13+C15+C17</f>
        <v>12539294</v>
      </c>
      <c r="D8" s="20">
        <f>D11+D13+D15+D17</f>
        <v>1767524</v>
      </c>
      <c r="E8" s="20">
        <f>E11+E13+E15+E17</f>
        <v>3060153</v>
      </c>
      <c r="F8" s="20">
        <f>F11+F13+F15+F17</f>
        <v>2780360</v>
      </c>
      <c r="G8" s="21">
        <f>G11+G13+G15+G17</f>
        <v>4931257</v>
      </c>
      <c r="H8" s="5"/>
    </row>
    <row r="9" spans="1:7" ht="13.5" thickBot="1">
      <c r="A9" s="10"/>
      <c r="B9" s="7" t="s">
        <v>11</v>
      </c>
      <c r="C9" s="15">
        <f>D9+E9+F9+G9</f>
        <v>100</v>
      </c>
      <c r="D9" s="15">
        <f>D8/C8*100</f>
        <v>14.095881315168143</v>
      </c>
      <c r="E9" s="15">
        <f>E8/C8*100</f>
        <v>24.40450794119669</v>
      </c>
      <c r="F9" s="15">
        <f>F8/C8*100</f>
        <v>22.17317817095604</v>
      </c>
      <c r="G9" s="6">
        <f>G8/C8*100</f>
        <v>39.32643257267913</v>
      </c>
    </row>
    <row r="10" spans="1:7" ht="12.75">
      <c r="A10" s="17" t="s">
        <v>12</v>
      </c>
      <c r="B10" s="18"/>
      <c r="C10" s="19"/>
      <c r="D10" s="19"/>
      <c r="E10" s="19"/>
      <c r="F10" s="19"/>
      <c r="G10" s="18"/>
    </row>
    <row r="11" spans="1:7" ht="12.75">
      <c r="A11" s="11" t="s">
        <v>13</v>
      </c>
      <c r="B11" s="18" t="s">
        <v>10</v>
      </c>
      <c r="C11" s="20">
        <f aca="true" t="shared" si="0" ref="C11:C18">D11+E11+F11+G11</f>
        <v>2284497</v>
      </c>
      <c r="D11" s="20">
        <f>D27+D43</f>
        <v>311131</v>
      </c>
      <c r="E11" s="20">
        <f>E27+E43</f>
        <v>425053</v>
      </c>
      <c r="F11" s="20">
        <f>F27+F43</f>
        <v>407962</v>
      </c>
      <c r="G11" s="21">
        <f>G27+G43</f>
        <v>1140351</v>
      </c>
    </row>
    <row r="12" spans="1:7" ht="12.75">
      <c r="A12" s="17"/>
      <c r="B12" s="18" t="s">
        <v>11</v>
      </c>
      <c r="C12" s="22">
        <f t="shared" si="0"/>
        <v>100</v>
      </c>
      <c r="D12" s="22">
        <f>D11/C11*100</f>
        <v>13.619234343490055</v>
      </c>
      <c r="E12" s="22">
        <f>E11/C11*100</f>
        <v>18.60597759594344</v>
      </c>
      <c r="F12" s="22">
        <f>F11/C11*100</f>
        <v>17.857847920132965</v>
      </c>
      <c r="G12" s="23">
        <f>G11/C11*100</f>
        <v>49.91694014043354</v>
      </c>
    </row>
    <row r="13" spans="1:7" ht="12.75">
      <c r="A13" s="11" t="s">
        <v>14</v>
      </c>
      <c r="B13" s="18" t="s">
        <v>10</v>
      </c>
      <c r="C13" s="20">
        <f t="shared" si="0"/>
        <v>5902626</v>
      </c>
      <c r="D13" s="20">
        <f>D29+D45</f>
        <v>826163</v>
      </c>
      <c r="E13" s="20">
        <f>E29+E45</f>
        <v>1537727</v>
      </c>
      <c r="F13" s="20">
        <f>F29+F45</f>
        <v>1356611</v>
      </c>
      <c r="G13" s="21">
        <f>G29+G45</f>
        <v>2182125</v>
      </c>
    </row>
    <row r="14" spans="1:7" ht="12.75">
      <c r="A14" s="17"/>
      <c r="B14" s="18" t="s">
        <v>11</v>
      </c>
      <c r="C14" s="22">
        <f t="shared" si="0"/>
        <v>100</v>
      </c>
      <c r="D14" s="22">
        <f>D13/C13*100</f>
        <v>13.996533068502053</v>
      </c>
      <c r="E14" s="22">
        <f>E13/C13*100</f>
        <v>26.05157433318662</v>
      </c>
      <c r="F14" s="22">
        <f>F13/C13*100</f>
        <v>22.983177318027604</v>
      </c>
      <c r="G14" s="23">
        <f>G13/C13*100</f>
        <v>36.968715280283725</v>
      </c>
    </row>
    <row r="15" spans="1:7" ht="12.75">
      <c r="A15" s="11" t="s">
        <v>15</v>
      </c>
      <c r="B15" s="18" t="s">
        <v>10</v>
      </c>
      <c r="C15" s="20">
        <f>D15+E15+F15+G15</f>
        <v>4245469</v>
      </c>
      <c r="D15" s="20">
        <f>D31+D47</f>
        <v>630230</v>
      </c>
      <c r="E15" s="20">
        <f>E31+E47</f>
        <v>1097373</v>
      </c>
      <c r="F15" s="20">
        <f>F31+F47</f>
        <v>998070</v>
      </c>
      <c r="G15" s="21">
        <f>G31+G47</f>
        <v>1519796</v>
      </c>
    </row>
    <row r="16" spans="1:7" ht="12.75">
      <c r="A16" s="11"/>
      <c r="B16" s="24" t="s">
        <v>11</v>
      </c>
      <c r="C16" s="25">
        <f>D16+E16+F16+G16</f>
        <v>100</v>
      </c>
      <c r="D16" s="25">
        <f>D15/C15*100</f>
        <v>14.844767445010199</v>
      </c>
      <c r="E16" s="25">
        <f>E15/C15*100</f>
        <v>25.84809829020068</v>
      </c>
      <c r="F16" s="25">
        <f>F15/C15*100</f>
        <v>23.50906342738576</v>
      </c>
      <c r="G16" s="26">
        <f>G15/C15*100</f>
        <v>35.79807083740336</v>
      </c>
    </row>
    <row r="17" spans="1:7" ht="12.75">
      <c r="A17" s="27" t="s">
        <v>24</v>
      </c>
      <c r="B17" s="28" t="s">
        <v>10</v>
      </c>
      <c r="C17" s="29">
        <f t="shared" si="0"/>
        <v>106702</v>
      </c>
      <c r="D17" s="29">
        <f>D33+D49</f>
        <v>0</v>
      </c>
      <c r="E17" s="29">
        <f>E33+E49</f>
        <v>0</v>
      </c>
      <c r="F17" s="29">
        <f>F33+F49</f>
        <v>17717</v>
      </c>
      <c r="G17" s="30">
        <f>G33+G49</f>
        <v>88985</v>
      </c>
    </row>
    <row r="18" spans="1:7" ht="13.5" thickBot="1">
      <c r="A18" s="10" t="s">
        <v>25</v>
      </c>
      <c r="B18" s="7" t="s">
        <v>11</v>
      </c>
      <c r="C18" s="15">
        <f t="shared" si="0"/>
        <v>100</v>
      </c>
      <c r="D18" s="15">
        <f>D17/C17*100</f>
        <v>0</v>
      </c>
      <c r="E18" s="15">
        <f>E17/C17*100</f>
        <v>0</v>
      </c>
      <c r="F18" s="15">
        <f>F17/C17*100</f>
        <v>16.604187362936027</v>
      </c>
      <c r="G18" s="6">
        <f>G17/C17*100</f>
        <v>83.39581263706397</v>
      </c>
    </row>
    <row r="20" ht="15.75">
      <c r="A20" s="4" t="s">
        <v>16</v>
      </c>
    </row>
    <row r="21" ht="13.5" thickBot="1"/>
    <row r="22" spans="1:7" ht="12.75">
      <c r="A22" s="8"/>
      <c r="B22" s="9"/>
      <c r="C22" s="12" t="s">
        <v>23</v>
      </c>
      <c r="D22" s="12"/>
      <c r="E22" s="12"/>
      <c r="F22" s="12"/>
      <c r="G22" s="13"/>
    </row>
    <row r="23" spans="1:7" ht="13.5" thickBot="1">
      <c r="A23" s="10"/>
      <c r="B23" s="7"/>
      <c r="C23" s="14" t="s">
        <v>4</v>
      </c>
      <c r="D23" s="14" t="s">
        <v>5</v>
      </c>
      <c r="E23" s="14" t="s">
        <v>6</v>
      </c>
      <c r="F23" s="14" t="s">
        <v>7</v>
      </c>
      <c r="G23" s="7" t="s">
        <v>8</v>
      </c>
    </row>
    <row r="24" spans="1:8" ht="12.75">
      <c r="A24" s="11" t="s">
        <v>9</v>
      </c>
      <c r="B24" s="18" t="s">
        <v>10</v>
      </c>
      <c r="C24" s="20">
        <f>D24+E24+F24+G24</f>
        <v>1352175</v>
      </c>
      <c r="D24" s="20">
        <f>D27+D29+D31+D33</f>
        <v>84606</v>
      </c>
      <c r="E24" s="20">
        <f>E27+E29+E31+E33</f>
        <v>246659</v>
      </c>
      <c r="F24" s="20">
        <f>F27+F29+F31+F33</f>
        <v>254889</v>
      </c>
      <c r="G24" s="21">
        <f>G27+G29+G31+G33</f>
        <v>766021</v>
      </c>
      <c r="H24" s="5"/>
    </row>
    <row r="25" spans="1:7" ht="13.5" thickBot="1">
      <c r="A25" s="10"/>
      <c r="B25" s="7" t="s">
        <v>11</v>
      </c>
      <c r="C25" s="15">
        <f>D25+E25+F25+G25</f>
        <v>100</v>
      </c>
      <c r="D25" s="15">
        <f>D24/C24*100</f>
        <v>6.257030340007766</v>
      </c>
      <c r="E25" s="15">
        <f>E24/C24*100</f>
        <v>18.24164771571727</v>
      </c>
      <c r="F25" s="15">
        <f>F24/C24*100</f>
        <v>18.85029674413445</v>
      </c>
      <c r="G25" s="6">
        <f>G24/C24*100</f>
        <v>56.651025200140516</v>
      </c>
    </row>
    <row r="26" spans="1:7" ht="12.75">
      <c r="A26" s="17" t="s">
        <v>12</v>
      </c>
      <c r="B26" s="18"/>
      <c r="C26" s="19"/>
      <c r="D26" s="19"/>
      <c r="E26" s="19"/>
      <c r="F26" s="19"/>
      <c r="G26" s="18"/>
    </row>
    <row r="27" spans="1:7" ht="12.75">
      <c r="A27" s="11" t="s">
        <v>13</v>
      </c>
      <c r="B27" s="18" t="s">
        <v>10</v>
      </c>
      <c r="C27" s="20">
        <f>SUM(D27:G27)</f>
        <v>600079</v>
      </c>
      <c r="D27" s="20">
        <v>66913</v>
      </c>
      <c r="E27" s="20">
        <f>116541-D27</f>
        <v>49628</v>
      </c>
      <c r="F27" s="20">
        <f>204358-E27-D27</f>
        <v>87817</v>
      </c>
      <c r="G27" s="21">
        <f>600079-D27-E27-F27</f>
        <v>395721</v>
      </c>
    </row>
    <row r="28" spans="1:7" ht="12.75">
      <c r="A28" s="17"/>
      <c r="B28" s="18" t="s">
        <v>11</v>
      </c>
      <c r="C28" s="22">
        <f aca="true" t="shared" si="1" ref="C28:C34">D28+E28+F28+G28</f>
        <v>99.99999999999999</v>
      </c>
      <c r="D28" s="22">
        <f>D27/C27*100</f>
        <v>11.150698491365302</v>
      </c>
      <c r="E28" s="22">
        <f>E27/C27*100</f>
        <v>8.27024441781832</v>
      </c>
      <c r="F28" s="22">
        <f>F27/C27*100</f>
        <v>14.634239825089695</v>
      </c>
      <c r="G28" s="23">
        <f>G27/C27*100</f>
        <v>65.94481726572667</v>
      </c>
    </row>
    <row r="29" spans="1:7" ht="12.75">
      <c r="A29" s="11" t="s">
        <v>14</v>
      </c>
      <c r="B29" s="18" t="s">
        <v>10</v>
      </c>
      <c r="C29" s="20">
        <f t="shared" si="1"/>
        <v>359458</v>
      </c>
      <c r="D29" s="20">
        <v>3303</v>
      </c>
      <c r="E29" s="20">
        <f>112274-D29</f>
        <v>108971</v>
      </c>
      <c r="F29" s="20">
        <f>174464-E29-D29</f>
        <v>62190</v>
      </c>
      <c r="G29" s="21">
        <f>359458-D29-E29-F29</f>
        <v>184994</v>
      </c>
    </row>
    <row r="30" spans="1:7" ht="12.75">
      <c r="A30" s="17"/>
      <c r="B30" s="18" t="s">
        <v>11</v>
      </c>
      <c r="C30" s="22">
        <f t="shared" si="1"/>
        <v>100</v>
      </c>
      <c r="D30" s="22">
        <f>D29/C29*100</f>
        <v>0.9188834300530243</v>
      </c>
      <c r="E30" s="22">
        <f>E29/C29*100</f>
        <v>30.315363686439028</v>
      </c>
      <c r="F30" s="22">
        <f>F29/C29*100</f>
        <v>17.3010476884643</v>
      </c>
      <c r="G30" s="23">
        <f>G29/C29*100</f>
        <v>51.46470519504365</v>
      </c>
    </row>
    <row r="31" spans="1:7" ht="12.75">
      <c r="A31" s="11" t="s">
        <v>15</v>
      </c>
      <c r="B31" s="18" t="s">
        <v>10</v>
      </c>
      <c r="C31" s="20">
        <f t="shared" si="1"/>
        <v>379203</v>
      </c>
      <c r="D31" s="20">
        <v>14390</v>
      </c>
      <c r="E31" s="20">
        <f>102450-D31</f>
        <v>88060</v>
      </c>
      <c r="F31" s="20">
        <f>205510-E31-D31</f>
        <v>103060</v>
      </c>
      <c r="G31" s="21">
        <f>379203-D31-E31-F31</f>
        <v>173693</v>
      </c>
    </row>
    <row r="32" spans="1:7" ht="12.75">
      <c r="A32" s="11"/>
      <c r="B32" s="24" t="s">
        <v>11</v>
      </c>
      <c r="C32" s="25">
        <f t="shared" si="1"/>
        <v>100</v>
      </c>
      <c r="D32" s="25">
        <f>D31/C31*100</f>
        <v>3.794801201467288</v>
      </c>
      <c r="E32" s="25">
        <f>E31/C31*100</f>
        <v>23.22239011822164</v>
      </c>
      <c r="F32" s="25">
        <f>F31/C31*100</f>
        <v>27.178055025935976</v>
      </c>
      <c r="G32" s="26">
        <f>G31/C31*100</f>
        <v>45.8047536543751</v>
      </c>
    </row>
    <row r="33" spans="1:7" ht="12.75">
      <c r="A33" s="27" t="s">
        <v>24</v>
      </c>
      <c r="B33" s="28" t="s">
        <v>10</v>
      </c>
      <c r="C33" s="29">
        <f t="shared" si="1"/>
        <v>13435</v>
      </c>
      <c r="D33" s="29">
        <v>0</v>
      </c>
      <c r="E33" s="29">
        <f>0-D33</f>
        <v>0</v>
      </c>
      <c r="F33" s="29">
        <f>1822-E33-D33</f>
        <v>1822</v>
      </c>
      <c r="G33" s="30">
        <f>13435-D33-E33-F33</f>
        <v>11613</v>
      </c>
    </row>
    <row r="34" spans="1:7" ht="13.5" thickBot="1">
      <c r="A34" s="10" t="s">
        <v>25</v>
      </c>
      <c r="B34" s="7" t="s">
        <v>11</v>
      </c>
      <c r="C34" s="15">
        <f t="shared" si="1"/>
        <v>100.00000000000001</v>
      </c>
      <c r="D34" s="15">
        <f>D33/C33*100</f>
        <v>0</v>
      </c>
      <c r="E34" s="15">
        <f>E33/C33*100</f>
        <v>0</v>
      </c>
      <c r="F34" s="15">
        <f>F33/C33*100</f>
        <v>13.561592854484555</v>
      </c>
      <c r="G34" s="6">
        <f>G33/C33*100</f>
        <v>86.43840714551546</v>
      </c>
    </row>
    <row r="36" ht="15.75">
      <c r="A36" s="3" t="s">
        <v>17</v>
      </c>
    </row>
    <row r="37" ht="13.5" thickBot="1"/>
    <row r="38" spans="1:7" ht="12.75">
      <c r="A38" s="8"/>
      <c r="B38" s="9"/>
      <c r="C38" s="12" t="s">
        <v>23</v>
      </c>
      <c r="D38" s="12"/>
      <c r="E38" s="12"/>
      <c r="F38" s="12"/>
      <c r="G38" s="13"/>
    </row>
    <row r="39" spans="1:7" ht="13.5" thickBot="1">
      <c r="A39" s="10"/>
      <c r="B39" s="7"/>
      <c r="C39" s="14" t="s">
        <v>4</v>
      </c>
      <c r="D39" s="14" t="s">
        <v>5</v>
      </c>
      <c r="E39" s="14" t="s">
        <v>6</v>
      </c>
      <c r="F39" s="14" t="s">
        <v>7</v>
      </c>
      <c r="G39" s="7" t="s">
        <v>8</v>
      </c>
    </row>
    <row r="40" spans="1:8" ht="12.75">
      <c r="A40" s="11" t="s">
        <v>9</v>
      </c>
      <c r="B40" s="18" t="s">
        <v>10</v>
      </c>
      <c r="C40" s="20">
        <f>C43+C45+C47+C49</f>
        <v>11187119</v>
      </c>
      <c r="D40" s="20">
        <f>D43+D45+D47+D49</f>
        <v>1682918</v>
      </c>
      <c r="E40" s="20">
        <f>E43+E45+E47+E49</f>
        <v>2813494</v>
      </c>
      <c r="F40" s="20">
        <f>F43+F45+F47+F49</f>
        <v>2525471</v>
      </c>
      <c r="G40" s="21">
        <f>G43+G45+G47+G49</f>
        <v>4165236</v>
      </c>
      <c r="H40" s="5"/>
    </row>
    <row r="41" spans="1:8" ht="13.5" thickBot="1">
      <c r="A41" s="10"/>
      <c r="B41" s="7" t="s">
        <v>11</v>
      </c>
      <c r="C41" s="15">
        <f>D41+E41+F41+G41</f>
        <v>100</v>
      </c>
      <c r="D41" s="15">
        <f>D40/C40*100</f>
        <v>15.043354772573709</v>
      </c>
      <c r="E41" s="15">
        <f>E40/C40*100</f>
        <v>25.149406205476136</v>
      </c>
      <c r="F41" s="15">
        <f>F40/C40*100</f>
        <v>22.574811262846136</v>
      </c>
      <c r="G41" s="6">
        <f>G40/C40*100</f>
        <v>37.23242775910402</v>
      </c>
      <c r="H41" s="5"/>
    </row>
    <row r="42" spans="1:7" ht="12.75">
      <c r="A42" s="17" t="s">
        <v>12</v>
      </c>
      <c r="B42" s="18"/>
      <c r="C42" s="19"/>
      <c r="D42" s="20"/>
      <c r="E42" s="19"/>
      <c r="F42" s="19"/>
      <c r="G42" s="18"/>
    </row>
    <row r="43" spans="1:7" ht="12.75">
      <c r="A43" s="11" t="s">
        <v>13</v>
      </c>
      <c r="B43" s="18" t="s">
        <v>10</v>
      </c>
      <c r="C43" s="20">
        <f aca="true" t="shared" si="2" ref="C43:C50">D43+E43+F43+G43</f>
        <v>1684418</v>
      </c>
      <c r="D43" s="20">
        <v>244218</v>
      </c>
      <c r="E43" s="20">
        <f>619643-D43</f>
        <v>375425</v>
      </c>
      <c r="F43" s="20">
        <f>939788-E43-D43</f>
        <v>320145</v>
      </c>
      <c r="G43" s="21">
        <f>1684418-D43-E43-F43</f>
        <v>744630</v>
      </c>
    </row>
    <row r="44" spans="1:7" ht="12.75">
      <c r="A44" s="17"/>
      <c r="B44" s="18" t="s">
        <v>11</v>
      </c>
      <c r="C44" s="22">
        <f t="shared" si="2"/>
        <v>100</v>
      </c>
      <c r="D44" s="22">
        <f>D43/C43*100</f>
        <v>14.498657696605</v>
      </c>
      <c r="E44" s="22">
        <f>E43/C43*100</f>
        <v>22.288113757986437</v>
      </c>
      <c r="F44" s="22">
        <f>F43/C43*100</f>
        <v>19.006268040355778</v>
      </c>
      <c r="G44" s="23">
        <f>G43/C43*100</f>
        <v>44.206960505052784</v>
      </c>
    </row>
    <row r="45" spans="1:7" ht="12.75">
      <c r="A45" s="11" t="s">
        <v>14</v>
      </c>
      <c r="B45" s="18" t="s">
        <v>10</v>
      </c>
      <c r="C45" s="20">
        <f t="shared" si="2"/>
        <v>5543168</v>
      </c>
      <c r="D45" s="20">
        <v>822860</v>
      </c>
      <c r="E45" s="20">
        <f>2251616-D45</f>
        <v>1428756</v>
      </c>
      <c r="F45" s="20">
        <f>3546037-E45-D45</f>
        <v>1294421</v>
      </c>
      <c r="G45" s="21">
        <f>5543168-D45-E45-F45</f>
        <v>1997131</v>
      </c>
    </row>
    <row r="46" spans="1:7" ht="12.75">
      <c r="A46" s="17"/>
      <c r="B46" s="18" t="s">
        <v>11</v>
      </c>
      <c r="C46" s="22">
        <f t="shared" si="2"/>
        <v>100</v>
      </c>
      <c r="D46" s="22">
        <f>D45/C45*100</f>
        <v>14.844579850367154</v>
      </c>
      <c r="E46" s="22">
        <f>E45/C45*100</f>
        <v>25.77508024292246</v>
      </c>
      <c r="F46" s="22">
        <f>F45/C45*100</f>
        <v>23.35164656745024</v>
      </c>
      <c r="G46" s="23">
        <f>G45/C45*100</f>
        <v>36.02869333926015</v>
      </c>
    </row>
    <row r="47" spans="1:7" ht="12.75">
      <c r="A47" s="11" t="s">
        <v>15</v>
      </c>
      <c r="B47" s="18" t="s">
        <v>10</v>
      </c>
      <c r="C47" s="20">
        <f>D47+E47+F47+G47</f>
        <v>3866266</v>
      </c>
      <c r="D47" s="20">
        <v>615840</v>
      </c>
      <c r="E47" s="20">
        <f>1625153-D47</f>
        <v>1009313</v>
      </c>
      <c r="F47" s="20">
        <f>2520163-E47-D47</f>
        <v>895010</v>
      </c>
      <c r="G47" s="21">
        <f>3866266-D47-E47-F47</f>
        <v>1346103</v>
      </c>
    </row>
    <row r="48" spans="1:7" ht="12.75">
      <c r="A48" s="11"/>
      <c r="B48" s="24" t="s">
        <v>11</v>
      </c>
      <c r="C48" s="25">
        <f>D48+E48+F48+G48</f>
        <v>100</v>
      </c>
      <c r="D48" s="25">
        <f>D47/C47*100</f>
        <v>15.928547078757644</v>
      </c>
      <c r="E48" s="25">
        <f>E47/C47*100</f>
        <v>26.105627496918217</v>
      </c>
      <c r="F48" s="25">
        <f>F47/C47*100</f>
        <v>23.14920908183762</v>
      </c>
      <c r="G48" s="26">
        <f>G47/C47*100</f>
        <v>34.816616342486526</v>
      </c>
    </row>
    <row r="49" spans="1:7" ht="12.75">
      <c r="A49" s="27" t="s">
        <v>24</v>
      </c>
      <c r="B49" s="28" t="s">
        <v>10</v>
      </c>
      <c r="C49" s="29">
        <f t="shared" si="2"/>
        <v>93267</v>
      </c>
      <c r="D49" s="29">
        <v>0</v>
      </c>
      <c r="E49" s="29">
        <f>0-D49</f>
        <v>0</v>
      </c>
      <c r="F49" s="29">
        <f>15895-E49-D49</f>
        <v>15895</v>
      </c>
      <c r="G49" s="30">
        <f>93267-D49-E49-F49</f>
        <v>77372</v>
      </c>
    </row>
    <row r="50" spans="1:7" ht="13.5" thickBot="1">
      <c r="A50" s="10" t="s">
        <v>25</v>
      </c>
      <c r="B50" s="7" t="s">
        <v>11</v>
      </c>
      <c r="C50" s="15">
        <f t="shared" si="2"/>
        <v>100</v>
      </c>
      <c r="D50" s="15">
        <f>D49/C49*100</f>
        <v>0</v>
      </c>
      <c r="E50" s="15">
        <f>E49/C49*100</f>
        <v>0</v>
      </c>
      <c r="F50" s="15">
        <f>F49/C49*100</f>
        <v>17.042469469372875</v>
      </c>
      <c r="G50" s="6">
        <f>G49/C49*100</f>
        <v>82.95753053062712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K25" sqref="K25"/>
    </sheetView>
  </sheetViews>
  <sheetFormatPr defaultColWidth="9.125" defaultRowHeight="12.75"/>
  <cols>
    <col min="1" max="1" width="21.875" style="1" customWidth="1"/>
    <col min="2" max="2" width="16.25390625" style="1" customWidth="1"/>
    <col min="3" max="16384" width="9.125" style="1" customWidth="1"/>
  </cols>
  <sheetData>
    <row r="1" spans="1:7" ht="18.75">
      <c r="A1" s="16" t="s">
        <v>0</v>
      </c>
      <c r="B1" s="2"/>
      <c r="C1" s="2"/>
      <c r="D1" s="2"/>
      <c r="E1" s="2"/>
      <c r="F1" s="2"/>
      <c r="G1" s="2"/>
    </row>
    <row r="2" spans="1:7" ht="18.75">
      <c r="A2" s="16" t="s">
        <v>29</v>
      </c>
      <c r="B2" s="2"/>
      <c r="C2" s="2"/>
      <c r="D2" s="2"/>
      <c r="E2" s="2"/>
      <c r="F2" s="2"/>
      <c r="G2" s="2"/>
    </row>
    <row r="4" ht="15.75">
      <c r="A4" s="3" t="s">
        <v>2</v>
      </c>
    </row>
    <row r="5" ht="13.5" thickBot="1"/>
    <row r="6" spans="1:7" ht="12.75">
      <c r="A6" s="8"/>
      <c r="B6" s="9"/>
      <c r="C6" s="12" t="s">
        <v>26</v>
      </c>
      <c r="D6" s="12"/>
      <c r="E6" s="12"/>
      <c r="F6" s="12"/>
      <c r="G6" s="13"/>
    </row>
    <row r="7" spans="1:7" ht="13.5" thickBot="1">
      <c r="A7" s="10"/>
      <c r="B7" s="7"/>
      <c r="C7" s="14" t="s">
        <v>4</v>
      </c>
      <c r="D7" s="14" t="s">
        <v>5</v>
      </c>
      <c r="E7" s="14" t="s">
        <v>6</v>
      </c>
      <c r="F7" s="14" t="s">
        <v>7</v>
      </c>
      <c r="G7" s="7" t="s">
        <v>8</v>
      </c>
    </row>
    <row r="8" spans="1:8" ht="12.75">
      <c r="A8" s="11" t="s">
        <v>9</v>
      </c>
      <c r="B8" s="18" t="s">
        <v>10</v>
      </c>
      <c r="C8" s="20">
        <f>C11+C13+C15+C17</f>
        <v>15041869.969999999</v>
      </c>
      <c r="D8" s="20">
        <f>D11+D13+D15+D17</f>
        <v>2183983</v>
      </c>
      <c r="E8" s="20">
        <f>E11+E13+E15+E17</f>
        <v>3446675</v>
      </c>
      <c r="F8" s="20">
        <f>F11+F13+F15+F17</f>
        <v>3203643</v>
      </c>
      <c r="G8" s="21">
        <f>G11+G13+G15+G17</f>
        <v>6207568.97</v>
      </c>
      <c r="H8" s="5"/>
    </row>
    <row r="9" spans="1:7" ht="13.5" thickBot="1">
      <c r="A9" s="10"/>
      <c r="B9" s="7" t="s">
        <v>11</v>
      </c>
      <c r="C9" s="15">
        <f>D9+E9+F9+G9</f>
        <v>100</v>
      </c>
      <c r="D9" s="15">
        <f>ROUND(D8/C8*100,1)</f>
        <v>14.5</v>
      </c>
      <c r="E9" s="15">
        <f>ROUND(E8/C8*100,1)</f>
        <v>22.9</v>
      </c>
      <c r="F9" s="15">
        <f>ROUND(F8/C8*100,1)</f>
        <v>21.3</v>
      </c>
      <c r="G9" s="6">
        <f>ROUND(G8/C8*100,1)</f>
        <v>41.3</v>
      </c>
    </row>
    <row r="10" spans="1:7" ht="12.75">
      <c r="A10" s="17" t="s">
        <v>12</v>
      </c>
      <c r="B10" s="18"/>
      <c r="C10" s="19"/>
      <c r="D10" s="19"/>
      <c r="E10" s="19"/>
      <c r="F10" s="19"/>
      <c r="G10" s="18"/>
    </row>
    <row r="11" spans="1:9" ht="12.75">
      <c r="A11" s="11" t="s">
        <v>13</v>
      </c>
      <c r="B11" s="18" t="s">
        <v>10</v>
      </c>
      <c r="C11" s="20">
        <f aca="true" t="shared" si="0" ref="C11:C18">D11+E11+F11+G11</f>
        <v>2283057.4699999997</v>
      </c>
      <c r="D11" s="20">
        <f>D27+D43</f>
        <v>250891</v>
      </c>
      <c r="E11" s="20">
        <f>E27+E43</f>
        <v>413718</v>
      </c>
      <c r="F11" s="20">
        <f>F27+F43</f>
        <v>409836</v>
      </c>
      <c r="G11" s="21">
        <f>G27+G43</f>
        <v>1208612.47</v>
      </c>
      <c r="I11" s="5"/>
    </row>
    <row r="12" spans="1:8" ht="12.75">
      <c r="A12" s="17"/>
      <c r="B12" s="18" t="s">
        <v>11</v>
      </c>
      <c r="C12" s="22">
        <f t="shared" si="0"/>
        <v>100</v>
      </c>
      <c r="D12" s="22">
        <f>ROUND(D11/C11*100,1)</f>
        <v>11</v>
      </c>
      <c r="E12" s="22">
        <f>ROUND(E11/C11*100,1)</f>
        <v>18.1</v>
      </c>
      <c r="F12" s="22">
        <f>ROUND(F11/C11*100,1)</f>
        <v>18</v>
      </c>
      <c r="G12" s="23">
        <f>ROUND(G11/C11*100,1)</f>
        <v>52.9</v>
      </c>
      <c r="H12" s="31"/>
    </row>
    <row r="13" spans="1:7" ht="12.75">
      <c r="A13" s="11" t="s">
        <v>14</v>
      </c>
      <c r="B13" s="18" t="s">
        <v>10</v>
      </c>
      <c r="C13" s="20">
        <f t="shared" si="0"/>
        <v>6417899</v>
      </c>
      <c r="D13" s="20">
        <f>D29+D45</f>
        <v>947502</v>
      </c>
      <c r="E13" s="20">
        <f>E29+E45</f>
        <v>1567051</v>
      </c>
      <c r="F13" s="20">
        <f>F29+F45</f>
        <v>1410280</v>
      </c>
      <c r="G13" s="21">
        <f>G29+G45</f>
        <v>2493066</v>
      </c>
    </row>
    <row r="14" spans="1:8" ht="12.75">
      <c r="A14" s="17"/>
      <c r="B14" s="18" t="s">
        <v>11</v>
      </c>
      <c r="C14" s="22">
        <f t="shared" si="0"/>
        <v>100</v>
      </c>
      <c r="D14" s="22">
        <f>ROUND(D13/C13*100,1)</f>
        <v>14.8</v>
      </c>
      <c r="E14" s="22">
        <f>ROUND(E13/C13*100,1)</f>
        <v>24.4</v>
      </c>
      <c r="F14" s="22">
        <f>ROUND(F13/C13*100,1)</f>
        <v>22</v>
      </c>
      <c r="G14" s="23">
        <f>ROUND(G13/C13*100,1)</f>
        <v>38.8</v>
      </c>
      <c r="H14" s="31"/>
    </row>
    <row r="15" spans="1:8" ht="12.75">
      <c r="A15" s="11" t="s">
        <v>15</v>
      </c>
      <c r="B15" s="18" t="s">
        <v>10</v>
      </c>
      <c r="C15" s="20">
        <f t="shared" si="0"/>
        <v>4701539.5</v>
      </c>
      <c r="D15" s="20">
        <f>D31+D47</f>
        <v>701263</v>
      </c>
      <c r="E15" s="20">
        <f>E31+E47</f>
        <v>1096834</v>
      </c>
      <c r="F15" s="20">
        <f>F31+F47</f>
        <v>1062679</v>
      </c>
      <c r="G15" s="21">
        <f>G31+G47</f>
        <v>1840763.5</v>
      </c>
      <c r="H15" s="31"/>
    </row>
    <row r="16" spans="1:8" ht="12.75">
      <c r="A16" s="11"/>
      <c r="B16" s="24" t="s">
        <v>11</v>
      </c>
      <c r="C16" s="25">
        <f t="shared" si="0"/>
        <v>100</v>
      </c>
      <c r="D16" s="25">
        <f>ROUND(D15/C15*100,1)</f>
        <v>14.9</v>
      </c>
      <c r="E16" s="25">
        <f>ROUND(E15/C15*100,1)</f>
        <v>23.3</v>
      </c>
      <c r="F16" s="25">
        <f>ROUND(F15/C15*100,1)</f>
        <v>22.6</v>
      </c>
      <c r="G16" s="26">
        <f>ROUND(G15/C15*100,1)</f>
        <v>39.2</v>
      </c>
      <c r="H16" s="31"/>
    </row>
    <row r="17" spans="1:8" ht="12.75">
      <c r="A17" s="27" t="s">
        <v>24</v>
      </c>
      <c r="B17" s="28" t="s">
        <v>10</v>
      </c>
      <c r="C17" s="29">
        <f t="shared" si="0"/>
        <v>1639374</v>
      </c>
      <c r="D17" s="29">
        <f>D33+D49</f>
        <v>284327</v>
      </c>
      <c r="E17" s="29">
        <f>E33+E49</f>
        <v>369072</v>
      </c>
      <c r="F17" s="29">
        <f>F33+F49</f>
        <v>320848</v>
      </c>
      <c r="G17" s="30">
        <f>G33+G49</f>
        <v>665127</v>
      </c>
      <c r="H17" s="31"/>
    </row>
    <row r="18" spans="1:8" ht="13.5" thickBot="1">
      <c r="A18" s="10" t="s">
        <v>25</v>
      </c>
      <c r="B18" s="7" t="s">
        <v>11</v>
      </c>
      <c r="C18" s="15">
        <f t="shared" si="0"/>
        <v>100</v>
      </c>
      <c r="D18" s="15">
        <f>ROUND(D17/C17*100,1)</f>
        <v>17.3</v>
      </c>
      <c r="E18" s="15">
        <f>ROUND(E17/C17*100,1)</f>
        <v>22.5</v>
      </c>
      <c r="F18" s="15">
        <f>ROUND(F17/C17*100,1)</f>
        <v>19.6</v>
      </c>
      <c r="G18" s="6">
        <f>ROUND(G17/C17*100,1)</f>
        <v>40.6</v>
      </c>
      <c r="H18" s="31"/>
    </row>
    <row r="19" ht="12.75">
      <c r="H19" s="31"/>
    </row>
    <row r="20" spans="1:8" ht="15.75">
      <c r="A20" s="4" t="s">
        <v>16</v>
      </c>
      <c r="H20" s="31"/>
    </row>
    <row r="21" ht="13.5" thickBot="1">
      <c r="H21" s="31"/>
    </row>
    <row r="22" spans="1:8" ht="12.75">
      <c r="A22" s="8"/>
      <c r="B22" s="9"/>
      <c r="C22" s="12" t="s">
        <v>26</v>
      </c>
      <c r="D22" s="12"/>
      <c r="E22" s="12"/>
      <c r="F22" s="12"/>
      <c r="G22" s="13"/>
      <c r="H22" s="31"/>
    </row>
    <row r="23" spans="1:8" ht="13.5" thickBot="1">
      <c r="A23" s="10"/>
      <c r="B23" s="7"/>
      <c r="C23" s="14" t="s">
        <v>4</v>
      </c>
      <c r="D23" s="14" t="s">
        <v>5</v>
      </c>
      <c r="E23" s="14" t="s">
        <v>6</v>
      </c>
      <c r="F23" s="14" t="s">
        <v>7</v>
      </c>
      <c r="G23" s="7" t="s">
        <v>8</v>
      </c>
      <c r="H23" s="31"/>
    </row>
    <row r="24" spans="1:8" ht="12.75">
      <c r="A24" s="11" t="s">
        <v>9</v>
      </c>
      <c r="B24" s="18" t="s">
        <v>10</v>
      </c>
      <c r="C24" s="20">
        <f>D24+E24+F24+G24</f>
        <v>1584826.8599999999</v>
      </c>
      <c r="D24" s="20">
        <f>D27+D29+D31+D33</f>
        <v>22640</v>
      </c>
      <c r="E24" s="20">
        <f>E27+E29+E31+E33</f>
        <v>150763</v>
      </c>
      <c r="F24" s="20">
        <f>F27+F29+F31+F33</f>
        <v>207586</v>
      </c>
      <c r="G24" s="21">
        <f>G27+G29+G31+G33</f>
        <v>1203837.8599999999</v>
      </c>
      <c r="H24" s="31"/>
    </row>
    <row r="25" spans="1:8" ht="13.5" thickBot="1">
      <c r="A25" s="10"/>
      <c r="B25" s="7" t="s">
        <v>11</v>
      </c>
      <c r="C25" s="15">
        <f>D25+E25+F25+G25</f>
        <v>100</v>
      </c>
      <c r="D25" s="15">
        <f>ROUND(D24/C24*100,1)</f>
        <v>1.4</v>
      </c>
      <c r="E25" s="15">
        <f>ROUND(E24/C24*100,1)</f>
        <v>9.5</v>
      </c>
      <c r="F25" s="15">
        <f>ROUND(F24/C24*100,1)</f>
        <v>13.1</v>
      </c>
      <c r="G25" s="6">
        <f>ROUND(G24/C24*100,1)</f>
        <v>76</v>
      </c>
      <c r="H25" s="31"/>
    </row>
    <row r="26" spans="1:8" ht="12.75">
      <c r="A26" s="17" t="s">
        <v>12</v>
      </c>
      <c r="B26" s="18"/>
      <c r="C26" s="19"/>
      <c r="D26" s="19"/>
      <c r="E26" s="19"/>
      <c r="F26" s="19"/>
      <c r="G26" s="18"/>
      <c r="H26" s="31"/>
    </row>
    <row r="27" spans="1:8" ht="12.75">
      <c r="A27" s="11" t="s">
        <v>13</v>
      </c>
      <c r="B27" s="18" t="s">
        <v>10</v>
      </c>
      <c r="C27" s="20">
        <f>SUM(D27:G27)</f>
        <v>574148</v>
      </c>
      <c r="D27" s="20">
        <v>6120</v>
      </c>
      <c r="E27" s="20">
        <f>76034-D27</f>
        <v>69914</v>
      </c>
      <c r="F27" s="20">
        <f>161782-E27-D27</f>
        <v>85748</v>
      </c>
      <c r="G27" s="21">
        <f>574148-D27-E27-F27</f>
        <v>412366</v>
      </c>
      <c r="H27" s="31"/>
    </row>
    <row r="28" spans="1:8" ht="12.75">
      <c r="A28" s="17"/>
      <c r="B28" s="18" t="s">
        <v>11</v>
      </c>
      <c r="C28" s="22">
        <f aca="true" t="shared" si="1" ref="C28:C34">D28+E28+F28+G28</f>
        <v>100</v>
      </c>
      <c r="D28" s="22">
        <f>ROUND(D27/C27*100,1)</f>
        <v>1.1</v>
      </c>
      <c r="E28" s="22">
        <f>ROUND(E27/C27*100,1)</f>
        <v>12.2</v>
      </c>
      <c r="F28" s="22">
        <f>ROUND(F27/C27*100,1)</f>
        <v>14.9</v>
      </c>
      <c r="G28" s="23">
        <f>ROUND(G27/C27*100,1)</f>
        <v>71.8</v>
      </c>
      <c r="H28" s="31"/>
    </row>
    <row r="29" spans="1:8" ht="12.75">
      <c r="A29" s="11" t="s">
        <v>14</v>
      </c>
      <c r="B29" s="18" t="s">
        <v>10</v>
      </c>
      <c r="C29" s="20">
        <f t="shared" si="1"/>
        <v>435982</v>
      </c>
      <c r="D29" s="20">
        <v>10624</v>
      </c>
      <c r="E29" s="20">
        <f>59926-D29</f>
        <v>49302</v>
      </c>
      <c r="F29" s="20">
        <f>120252-E29-D29</f>
        <v>60326</v>
      </c>
      <c r="G29" s="21">
        <f>435982-D29-E29-F29</f>
        <v>315730</v>
      </c>
      <c r="H29" s="31"/>
    </row>
    <row r="30" spans="1:8" ht="12.75">
      <c r="A30" s="17"/>
      <c r="B30" s="18" t="s">
        <v>11</v>
      </c>
      <c r="C30" s="22">
        <f t="shared" si="1"/>
        <v>100</v>
      </c>
      <c r="D30" s="22">
        <f>ROUND(D29/C29*100,1)</f>
        <v>2.4</v>
      </c>
      <c r="E30" s="22">
        <f>ROUND(E29/C29*100,1)+0.1</f>
        <v>11.4</v>
      </c>
      <c r="F30" s="22">
        <f>ROUND(F29/C29*100,1)</f>
        <v>13.8</v>
      </c>
      <c r="G30" s="23">
        <f>ROUND(G29/C29*100,1)</f>
        <v>72.4</v>
      </c>
      <c r="H30" s="31"/>
    </row>
    <row r="31" spans="1:8" ht="12.75">
      <c r="A31" s="11" t="s">
        <v>15</v>
      </c>
      <c r="B31" s="18" t="s">
        <v>10</v>
      </c>
      <c r="C31" s="20">
        <f t="shared" si="1"/>
        <v>517933.86</v>
      </c>
      <c r="D31" s="20">
        <v>5896</v>
      </c>
      <c r="E31" s="20">
        <f>37443-D31</f>
        <v>31547</v>
      </c>
      <c r="F31" s="20">
        <f>92525-E31-D31</f>
        <v>55082</v>
      </c>
      <c r="G31" s="21">
        <f>517933.86-D31-E31-F31</f>
        <v>425408.86</v>
      </c>
      <c r="H31" s="31"/>
    </row>
    <row r="32" spans="1:8" ht="12.75">
      <c r="A32" s="11"/>
      <c r="B32" s="24" t="s">
        <v>11</v>
      </c>
      <c r="C32" s="25">
        <f t="shared" si="1"/>
        <v>100</v>
      </c>
      <c r="D32" s="25">
        <f>ROUND(D31/C31*100,1)</f>
        <v>1.1</v>
      </c>
      <c r="E32" s="25">
        <f>ROUND(E31/C31*100,1)+0.1</f>
        <v>6.199999999999999</v>
      </c>
      <c r="F32" s="25">
        <f>ROUND(F31/C31*100,1)</f>
        <v>10.6</v>
      </c>
      <c r="G32" s="26">
        <f>ROUND(G31/C31*100,1)</f>
        <v>82.1</v>
      </c>
      <c r="H32" s="31"/>
    </row>
    <row r="33" spans="1:8" ht="12.75">
      <c r="A33" s="27" t="s">
        <v>24</v>
      </c>
      <c r="B33" s="28" t="s">
        <v>10</v>
      </c>
      <c r="C33" s="29">
        <f t="shared" si="1"/>
        <v>56763</v>
      </c>
      <c r="D33" s="29">
        <v>0</v>
      </c>
      <c r="E33" s="29">
        <f>0-D33</f>
        <v>0</v>
      </c>
      <c r="F33" s="29">
        <f>6430-E33-D33</f>
        <v>6430</v>
      </c>
      <c r="G33" s="30">
        <f>56763-D33-E33-F33</f>
        <v>50333</v>
      </c>
      <c r="H33" s="31"/>
    </row>
    <row r="34" spans="1:8" ht="13.5" thickBot="1">
      <c r="A34" s="10" t="s">
        <v>25</v>
      </c>
      <c r="B34" s="7" t="s">
        <v>11</v>
      </c>
      <c r="C34" s="15">
        <f t="shared" si="1"/>
        <v>100</v>
      </c>
      <c r="D34" s="15">
        <f>ROUND(D33/C33*100,1)</f>
        <v>0</v>
      </c>
      <c r="E34" s="15">
        <f>ROUND(E33/C33*100,1)</f>
        <v>0</v>
      </c>
      <c r="F34" s="15">
        <f>ROUND(F33/C33*100,1)</f>
        <v>11.3</v>
      </c>
      <c r="G34" s="6">
        <f>ROUND(G33/C33*100,1)</f>
        <v>88.7</v>
      </c>
      <c r="H34" s="31"/>
    </row>
    <row r="35" ht="12.75">
      <c r="H35" s="31"/>
    </row>
    <row r="36" spans="1:8" ht="15.75">
      <c r="A36" s="3" t="s">
        <v>17</v>
      </c>
      <c r="H36" s="31"/>
    </row>
    <row r="37" ht="13.5" thickBot="1">
      <c r="H37" s="31"/>
    </row>
    <row r="38" spans="1:8" ht="12.75">
      <c r="A38" s="8"/>
      <c r="B38" s="9"/>
      <c r="C38" s="12" t="s">
        <v>26</v>
      </c>
      <c r="D38" s="12"/>
      <c r="E38" s="12"/>
      <c r="F38" s="12"/>
      <c r="G38" s="13"/>
      <c r="H38" s="31"/>
    </row>
    <row r="39" spans="1:8" ht="13.5" thickBot="1">
      <c r="A39" s="10"/>
      <c r="B39" s="7"/>
      <c r="C39" s="14" t="s">
        <v>4</v>
      </c>
      <c r="D39" s="14" t="s">
        <v>5</v>
      </c>
      <c r="E39" s="14" t="s">
        <v>6</v>
      </c>
      <c r="F39" s="14" t="s">
        <v>7</v>
      </c>
      <c r="G39" s="7" t="s">
        <v>8</v>
      </c>
      <c r="H39" s="31"/>
    </row>
    <row r="40" spans="1:8" ht="12.75">
      <c r="A40" s="11" t="s">
        <v>9</v>
      </c>
      <c r="B40" s="18" t="s">
        <v>10</v>
      </c>
      <c r="C40" s="20">
        <f>C43+C45+C47+C49</f>
        <v>13457043.11</v>
      </c>
      <c r="D40" s="20">
        <f>D43+D45+D47+D49</f>
        <v>2161343</v>
      </c>
      <c r="E40" s="20">
        <f>E43+E45+E47+E49</f>
        <v>3295912</v>
      </c>
      <c r="F40" s="20">
        <f>F43+F45+F47+F49</f>
        <v>2996057</v>
      </c>
      <c r="G40" s="21">
        <f>G43+G45+G47+G49</f>
        <v>5003731.109999999</v>
      </c>
      <c r="H40" s="31"/>
    </row>
    <row r="41" spans="1:8" ht="13.5" thickBot="1">
      <c r="A41" s="10"/>
      <c r="B41" s="7" t="s">
        <v>11</v>
      </c>
      <c r="C41" s="15">
        <f>D41+E41+F41+G41</f>
        <v>100</v>
      </c>
      <c r="D41" s="15">
        <f>ROUND(D40/C40*100,1)</f>
        <v>16.1</v>
      </c>
      <c r="E41" s="15">
        <f>ROUND(E40/C40*100,1)-0.1</f>
        <v>24.4</v>
      </c>
      <c r="F41" s="15">
        <f>ROUND(F40/C40*100,1)</f>
        <v>22.3</v>
      </c>
      <c r="G41" s="6">
        <f>ROUND(G40/C40*100,1)</f>
        <v>37.2</v>
      </c>
      <c r="H41" s="31"/>
    </row>
    <row r="42" spans="1:8" ht="12.75">
      <c r="A42" s="17" t="s">
        <v>12</v>
      </c>
      <c r="B42" s="18"/>
      <c r="C42" s="19"/>
      <c r="D42" s="19"/>
      <c r="E42" s="19"/>
      <c r="F42" s="19"/>
      <c r="G42" s="18"/>
      <c r="H42" s="31"/>
    </row>
    <row r="43" spans="1:8" ht="12.75">
      <c r="A43" s="11" t="s">
        <v>13</v>
      </c>
      <c r="B43" s="18" t="s">
        <v>10</v>
      </c>
      <c r="C43" s="20">
        <f aca="true" t="shared" si="2" ref="C43:C50">D43+E43+F43+G43</f>
        <v>1708909.47</v>
      </c>
      <c r="D43" s="20">
        <v>244771</v>
      </c>
      <c r="E43" s="20">
        <f>588575-D43</f>
        <v>343804</v>
      </c>
      <c r="F43" s="20">
        <f>912663-E43-D43</f>
        <v>324088</v>
      </c>
      <c r="G43" s="21">
        <f>1708909.47-D43-E43-F43</f>
        <v>796246.47</v>
      </c>
      <c r="H43" s="31"/>
    </row>
    <row r="44" spans="1:8" ht="12.75">
      <c r="A44" s="17"/>
      <c r="B44" s="18" t="s">
        <v>11</v>
      </c>
      <c r="C44" s="22">
        <f t="shared" si="2"/>
        <v>100</v>
      </c>
      <c r="D44" s="22">
        <f>ROUND(D43/C43*100,1)</f>
        <v>14.3</v>
      </c>
      <c r="E44" s="22">
        <f>ROUND(E43/C43*100,1)</f>
        <v>20.1</v>
      </c>
      <c r="F44" s="22">
        <f>ROUND(F43/C43*100,1)</f>
        <v>19</v>
      </c>
      <c r="G44" s="23">
        <f>ROUND(G43/C43*100,1)</f>
        <v>46.6</v>
      </c>
      <c r="H44" s="31"/>
    </row>
    <row r="45" spans="1:8" ht="12.75">
      <c r="A45" s="11" t="s">
        <v>14</v>
      </c>
      <c r="B45" s="18" t="s">
        <v>10</v>
      </c>
      <c r="C45" s="20">
        <f t="shared" si="2"/>
        <v>5981917</v>
      </c>
      <c r="D45" s="20">
        <v>936878</v>
      </c>
      <c r="E45" s="20">
        <f>2454627-D45</f>
        <v>1517749</v>
      </c>
      <c r="F45" s="20">
        <f>3804581-E45-D45</f>
        <v>1349954</v>
      </c>
      <c r="G45" s="21">
        <f>5981917-D45-E45-F45</f>
        <v>2177336</v>
      </c>
      <c r="H45" s="31"/>
    </row>
    <row r="46" spans="1:8" ht="12.75">
      <c r="A46" s="17"/>
      <c r="B46" s="18" t="s">
        <v>11</v>
      </c>
      <c r="C46" s="22">
        <f t="shared" si="2"/>
        <v>100</v>
      </c>
      <c r="D46" s="22">
        <f>ROUND(D45/C45*100,1)</f>
        <v>15.7</v>
      </c>
      <c r="E46" s="22">
        <f>ROUND(E45/C45*100,1)-0.1</f>
        <v>25.299999999999997</v>
      </c>
      <c r="F46" s="22">
        <f>ROUND(F45/C45*100,1)</f>
        <v>22.6</v>
      </c>
      <c r="G46" s="23">
        <f>ROUND(G45/C45*100,1)</f>
        <v>36.4</v>
      </c>
      <c r="H46" s="31"/>
    </row>
    <row r="47" spans="1:8" ht="12.75">
      <c r="A47" s="11" t="s">
        <v>15</v>
      </c>
      <c r="B47" s="18" t="s">
        <v>10</v>
      </c>
      <c r="C47" s="20">
        <f t="shared" si="2"/>
        <v>4183605.64</v>
      </c>
      <c r="D47" s="20">
        <v>695367</v>
      </c>
      <c r="E47" s="20">
        <f>1760654-D47</f>
        <v>1065287</v>
      </c>
      <c r="F47" s="20">
        <f>2768251-E47-D47</f>
        <v>1007597</v>
      </c>
      <c r="G47" s="21">
        <f>4183605.64-D47-E47-F47</f>
        <v>1415354.6400000001</v>
      </c>
      <c r="H47" s="31"/>
    </row>
    <row r="48" spans="1:8" ht="12.75">
      <c r="A48" s="11"/>
      <c r="B48" s="24" t="s">
        <v>11</v>
      </c>
      <c r="C48" s="25">
        <f t="shared" si="2"/>
        <v>100</v>
      </c>
      <c r="D48" s="25">
        <f>ROUND(D47/C47*100,1)</f>
        <v>16.6</v>
      </c>
      <c r="E48" s="25">
        <f>ROUND(E47/C47*100,1)</f>
        <v>25.5</v>
      </c>
      <c r="F48" s="25">
        <f>ROUND(F47/C47*100,1)</f>
        <v>24.1</v>
      </c>
      <c r="G48" s="26">
        <f>ROUND(G47/C47*100,1)</f>
        <v>33.8</v>
      </c>
      <c r="H48" s="31"/>
    </row>
    <row r="49" spans="1:8" ht="12.75">
      <c r="A49" s="27" t="s">
        <v>24</v>
      </c>
      <c r="B49" s="28" t="s">
        <v>10</v>
      </c>
      <c r="C49" s="29">
        <f t="shared" si="2"/>
        <v>1582611</v>
      </c>
      <c r="D49" s="29">
        <v>284327</v>
      </c>
      <c r="E49" s="29">
        <f>653399-D49</f>
        <v>369072</v>
      </c>
      <c r="F49" s="29">
        <f>967817-E49-D49</f>
        <v>314418</v>
      </c>
      <c r="G49" s="30">
        <f>1582611-D49-E49-F49</f>
        <v>614794</v>
      </c>
      <c r="H49" s="31"/>
    </row>
    <row r="50" spans="1:8" ht="13.5" thickBot="1">
      <c r="A50" s="10" t="s">
        <v>25</v>
      </c>
      <c r="B50" s="7" t="s">
        <v>11</v>
      </c>
      <c r="C50" s="15">
        <f t="shared" si="2"/>
        <v>100</v>
      </c>
      <c r="D50" s="15">
        <f>ROUND(D49/C49*100,1)</f>
        <v>18</v>
      </c>
      <c r="E50" s="15">
        <f>ROUND(E49/C49*100,1)</f>
        <v>23.3</v>
      </c>
      <c r="F50" s="15">
        <f>ROUND(F49/C49*100,1)</f>
        <v>19.9</v>
      </c>
      <c r="G50" s="6">
        <f>ROUND(G49/C49*100,1)</f>
        <v>38.8</v>
      </c>
      <c r="H50" s="31"/>
    </row>
    <row r="52" spans="4:8" ht="12.75">
      <c r="D52" s="5"/>
      <c r="H52" s="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22">
      <selection activeCell="J36" sqref="J36"/>
    </sheetView>
  </sheetViews>
  <sheetFormatPr defaultColWidth="9.125" defaultRowHeight="12.75"/>
  <cols>
    <col min="1" max="1" width="21.875" style="1" customWidth="1"/>
    <col min="2" max="2" width="16.25390625" style="1" customWidth="1"/>
    <col min="3" max="16384" width="9.125" style="1" customWidth="1"/>
  </cols>
  <sheetData>
    <row r="1" spans="1:7" ht="18.75">
      <c r="A1" s="16" t="s">
        <v>0</v>
      </c>
      <c r="B1" s="2"/>
      <c r="C1" s="2"/>
      <c r="D1" s="2"/>
      <c r="E1" s="2"/>
      <c r="F1" s="2"/>
      <c r="G1" s="2"/>
    </row>
    <row r="2" spans="1:7" ht="18.75">
      <c r="A2" s="16" t="s">
        <v>27</v>
      </c>
      <c r="B2" s="2"/>
      <c r="C2" s="2"/>
      <c r="D2" s="2"/>
      <c r="E2" s="2"/>
      <c r="F2" s="2"/>
      <c r="G2" s="2"/>
    </row>
    <row r="4" ht="15.75">
      <c r="A4" s="3" t="s">
        <v>2</v>
      </c>
    </row>
    <row r="5" ht="13.5" thickBot="1"/>
    <row r="6" spans="1:7" ht="12.75">
      <c r="A6" s="8"/>
      <c r="B6" s="9"/>
      <c r="C6" s="12" t="s">
        <v>28</v>
      </c>
      <c r="D6" s="12"/>
      <c r="E6" s="12"/>
      <c r="F6" s="12"/>
      <c r="G6" s="13"/>
    </row>
    <row r="7" spans="1:7" ht="13.5" thickBot="1">
      <c r="A7" s="10"/>
      <c r="B7" s="7"/>
      <c r="C7" s="14" t="s">
        <v>4</v>
      </c>
      <c r="D7" s="14" t="s">
        <v>5</v>
      </c>
      <c r="E7" s="14" t="s">
        <v>6</v>
      </c>
      <c r="F7" s="14" t="s">
        <v>7</v>
      </c>
      <c r="G7" s="7" t="s">
        <v>8</v>
      </c>
    </row>
    <row r="8" spans="1:8" ht="12.75">
      <c r="A8" s="11" t="s">
        <v>9</v>
      </c>
      <c r="B8" s="18" t="s">
        <v>10</v>
      </c>
      <c r="C8" s="20">
        <f>C11+C13+C15+C17</f>
        <v>15372046</v>
      </c>
      <c r="D8" s="20">
        <f>D11+D13+D15+D17</f>
        <v>2184764</v>
      </c>
      <c r="E8" s="20">
        <f>E11+E13+E15+E17</f>
        <v>3482325</v>
      </c>
      <c r="F8" s="20">
        <f>F11+F13+F15+F17</f>
        <v>3539324</v>
      </c>
      <c r="G8" s="21">
        <f>G11+G13+G15+G17</f>
        <v>6165633</v>
      </c>
      <c r="H8" s="5"/>
    </row>
    <row r="9" spans="1:8" ht="13.5" thickBot="1">
      <c r="A9" s="10"/>
      <c r="B9" s="7" t="s">
        <v>11</v>
      </c>
      <c r="C9" s="15">
        <f>D9+E9+F9+G9</f>
        <v>100</v>
      </c>
      <c r="D9" s="15">
        <f>ROUND(D8/C8*100,1)</f>
        <v>14.2</v>
      </c>
      <c r="E9" s="15">
        <f>ROUND(E8/C8*100,1)</f>
        <v>22.7</v>
      </c>
      <c r="F9" s="15">
        <f>ROUND(F8/C8*100,1)</f>
        <v>23</v>
      </c>
      <c r="G9" s="6">
        <f>ROUND(G8/C8*100,1)</f>
        <v>40.1</v>
      </c>
      <c r="H9" s="31"/>
    </row>
    <row r="10" spans="1:7" ht="12.75">
      <c r="A10" s="17" t="s">
        <v>12</v>
      </c>
      <c r="B10" s="18"/>
      <c r="C10" s="19"/>
      <c r="D10" s="19"/>
      <c r="E10" s="19"/>
      <c r="F10" s="19"/>
      <c r="G10" s="18"/>
    </row>
    <row r="11" spans="1:9" ht="12.75">
      <c r="A11" s="11" t="s">
        <v>13</v>
      </c>
      <c r="B11" s="18" t="s">
        <v>10</v>
      </c>
      <c r="C11" s="20">
        <f aca="true" t="shared" si="0" ref="C11:C18">D11+E11+F11+G11</f>
        <v>2508569</v>
      </c>
      <c r="D11" s="20">
        <f>D27+D43</f>
        <v>233988</v>
      </c>
      <c r="E11" s="20">
        <f>E27+E43</f>
        <v>501040</v>
      </c>
      <c r="F11" s="20">
        <f>F27+F43</f>
        <v>701987</v>
      </c>
      <c r="G11" s="21">
        <f>G27+G43</f>
        <v>1071554</v>
      </c>
      <c r="I11" s="5"/>
    </row>
    <row r="12" spans="1:8" ht="12.75">
      <c r="A12" s="17"/>
      <c r="B12" s="18" t="s">
        <v>11</v>
      </c>
      <c r="C12" s="22">
        <f t="shared" si="0"/>
        <v>100</v>
      </c>
      <c r="D12" s="22">
        <f>ROUND(D11/C11*100,1)</f>
        <v>9.3</v>
      </c>
      <c r="E12" s="22">
        <f>ROUND(E11/C11*100,1)</f>
        <v>20</v>
      </c>
      <c r="F12" s="22">
        <f>ROUND(F11/C11*100,1)</f>
        <v>28</v>
      </c>
      <c r="G12" s="23">
        <f>ROUND(G11/C11*100,1)</f>
        <v>42.7</v>
      </c>
      <c r="H12" s="31"/>
    </row>
    <row r="13" spans="1:7" ht="12.75">
      <c r="A13" s="11" t="s">
        <v>14</v>
      </c>
      <c r="B13" s="18" t="s">
        <v>10</v>
      </c>
      <c r="C13" s="20">
        <f t="shared" si="0"/>
        <v>6610832</v>
      </c>
      <c r="D13" s="20">
        <f>D29+D45</f>
        <v>1017630</v>
      </c>
      <c r="E13" s="20">
        <f>E29+E45</f>
        <v>1560141</v>
      </c>
      <c r="F13" s="20">
        <f>F29+F45</f>
        <v>1495433</v>
      </c>
      <c r="G13" s="21">
        <f>G29+G45</f>
        <v>2537628</v>
      </c>
    </row>
    <row r="14" spans="1:8" ht="12.75">
      <c r="A14" s="17"/>
      <c r="B14" s="18" t="s">
        <v>11</v>
      </c>
      <c r="C14" s="22">
        <f t="shared" si="0"/>
        <v>100</v>
      </c>
      <c r="D14" s="22">
        <f>ROUND(D13/C13*100,1)</f>
        <v>15.4</v>
      </c>
      <c r="E14" s="22">
        <f>ROUND(E13/C13*100,1)</f>
        <v>23.6</v>
      </c>
      <c r="F14" s="22">
        <f>ROUND(F13/C13*100,1)</f>
        <v>22.6</v>
      </c>
      <c r="G14" s="23">
        <f>ROUND(G13/C13*100,1)</f>
        <v>38.4</v>
      </c>
      <c r="H14" s="31"/>
    </row>
    <row r="15" spans="1:8" ht="12.75">
      <c r="A15" s="11" t="s">
        <v>15</v>
      </c>
      <c r="B15" s="18" t="s">
        <v>10</v>
      </c>
      <c r="C15" s="20">
        <f t="shared" si="0"/>
        <v>4741003</v>
      </c>
      <c r="D15" s="20">
        <f>D31+D47</f>
        <v>724546</v>
      </c>
      <c r="E15" s="20">
        <f>E31+E47</f>
        <v>1151641</v>
      </c>
      <c r="F15" s="20">
        <f>F31+F47</f>
        <v>1075611</v>
      </c>
      <c r="G15" s="21">
        <f>G31+G47</f>
        <v>1789205</v>
      </c>
      <c r="H15" s="31"/>
    </row>
    <row r="16" spans="1:8" ht="12.75">
      <c r="A16" s="11"/>
      <c r="B16" s="24" t="s">
        <v>11</v>
      </c>
      <c r="C16" s="25">
        <f t="shared" si="0"/>
        <v>100</v>
      </c>
      <c r="D16" s="25">
        <f>ROUND(D15/C15*100,1)</f>
        <v>15.3</v>
      </c>
      <c r="E16" s="25">
        <f>ROUND(E15/C15*100,1)</f>
        <v>24.3</v>
      </c>
      <c r="F16" s="25">
        <f>ROUND(F15/C15*100,1)</f>
        <v>22.7</v>
      </c>
      <c r="G16" s="26">
        <f>ROUND(G15/C15*100,1)</f>
        <v>37.7</v>
      </c>
      <c r="H16" s="31"/>
    </row>
    <row r="17" spans="1:8" ht="12.75">
      <c r="A17" s="27" t="s">
        <v>24</v>
      </c>
      <c r="B17" s="28" t="s">
        <v>10</v>
      </c>
      <c r="C17" s="29">
        <f t="shared" si="0"/>
        <v>1511642</v>
      </c>
      <c r="D17" s="29">
        <f>D33+D49</f>
        <v>208600</v>
      </c>
      <c r="E17" s="29">
        <f>E33+E49</f>
        <v>269503</v>
      </c>
      <c r="F17" s="29">
        <f>F33+F49</f>
        <v>266293</v>
      </c>
      <c r="G17" s="30">
        <f>G33+G49</f>
        <v>767246</v>
      </c>
      <c r="H17" s="31"/>
    </row>
    <row r="18" spans="1:8" ht="13.5" thickBot="1">
      <c r="A18" s="10" t="s">
        <v>25</v>
      </c>
      <c r="B18" s="7" t="s">
        <v>11</v>
      </c>
      <c r="C18" s="15">
        <f t="shared" si="0"/>
        <v>100</v>
      </c>
      <c r="D18" s="15">
        <f>ROUND(D17/C17*100,1)</f>
        <v>13.8</v>
      </c>
      <c r="E18" s="15">
        <f>ROUND(E17/C17*100,1)</f>
        <v>17.8</v>
      </c>
      <c r="F18" s="15">
        <f>ROUND(F17/C17*100,1)</f>
        <v>17.6</v>
      </c>
      <c r="G18" s="6">
        <f>ROUND(G17/C17*100,1)</f>
        <v>50.8</v>
      </c>
      <c r="H18" s="31"/>
    </row>
    <row r="19" ht="12.75">
      <c r="H19" s="31"/>
    </row>
    <row r="20" spans="1:8" ht="15.75">
      <c r="A20" s="4" t="s">
        <v>16</v>
      </c>
      <c r="H20" s="31"/>
    </row>
    <row r="21" ht="13.5" thickBot="1">
      <c r="H21" s="31"/>
    </row>
    <row r="22" spans="1:8" ht="12.75">
      <c r="A22" s="8"/>
      <c r="B22" s="9"/>
      <c r="C22" s="12" t="s">
        <v>28</v>
      </c>
      <c r="D22" s="12"/>
      <c r="E22" s="12"/>
      <c r="F22" s="12"/>
      <c r="G22" s="13"/>
      <c r="H22" s="31"/>
    </row>
    <row r="23" spans="1:8" ht="13.5" thickBot="1">
      <c r="A23" s="10"/>
      <c r="B23" s="7"/>
      <c r="C23" s="14" t="s">
        <v>4</v>
      </c>
      <c r="D23" s="14" t="s">
        <v>5</v>
      </c>
      <c r="E23" s="14" t="s">
        <v>6</v>
      </c>
      <c r="F23" s="14" t="s">
        <v>7</v>
      </c>
      <c r="G23" s="7" t="s">
        <v>8</v>
      </c>
      <c r="H23" s="31"/>
    </row>
    <row r="24" spans="1:8" ht="12.75">
      <c r="A24" s="11" t="s">
        <v>9</v>
      </c>
      <c r="B24" s="18" t="s">
        <v>10</v>
      </c>
      <c r="C24" s="20">
        <f>D24+E24+F24+G24</f>
        <v>1716709</v>
      </c>
      <c r="D24" s="20">
        <f>D27+D29+D31+D33</f>
        <v>53244</v>
      </c>
      <c r="E24" s="20">
        <f>E27+E29+E31+E33</f>
        <v>225315</v>
      </c>
      <c r="F24" s="20">
        <f>F27+F29+F31+F33</f>
        <v>435561</v>
      </c>
      <c r="G24" s="21">
        <f>G27+G29+G31+G33</f>
        <v>1002589</v>
      </c>
      <c r="H24" s="31"/>
    </row>
    <row r="25" spans="1:8" ht="13.5" thickBot="1">
      <c r="A25" s="10"/>
      <c r="B25" s="7" t="s">
        <v>11</v>
      </c>
      <c r="C25" s="15">
        <f>D25+E25+F25+G25</f>
        <v>100</v>
      </c>
      <c r="D25" s="15">
        <f>ROUND(D24/C24*100,1)</f>
        <v>3.1</v>
      </c>
      <c r="E25" s="15">
        <f>ROUND(E24/C24*100,1)</f>
        <v>13.1</v>
      </c>
      <c r="F25" s="15">
        <f>ROUND(F24/C24*100,1)</f>
        <v>25.4</v>
      </c>
      <c r="G25" s="6">
        <f>ROUND(G24/C24*100,1)</f>
        <v>58.4</v>
      </c>
      <c r="H25" s="31"/>
    </row>
    <row r="26" spans="1:8" ht="12.75">
      <c r="A26" s="17" t="s">
        <v>12</v>
      </c>
      <c r="B26" s="18"/>
      <c r="C26" s="19"/>
      <c r="D26" s="19"/>
      <c r="E26" s="19"/>
      <c r="F26" s="19"/>
      <c r="G26" s="18"/>
      <c r="H26" s="31"/>
    </row>
    <row r="27" spans="1:8" ht="12.75">
      <c r="A27" s="11" t="s">
        <v>13</v>
      </c>
      <c r="B27" s="18" t="s">
        <v>10</v>
      </c>
      <c r="C27" s="20">
        <f>SUM(D27:G27)</f>
        <v>671547</v>
      </c>
      <c r="D27" s="20">
        <v>29086</v>
      </c>
      <c r="E27" s="20">
        <f>105958-D27</f>
        <v>76872</v>
      </c>
      <c r="F27" s="20">
        <f>368749-E27-D27</f>
        <v>262791</v>
      </c>
      <c r="G27" s="21">
        <f>671547-D27-E27-F27</f>
        <v>302798</v>
      </c>
      <c r="H27" s="31"/>
    </row>
    <row r="28" spans="1:8" ht="12.75">
      <c r="A28" s="17"/>
      <c r="B28" s="18" t="s">
        <v>11</v>
      </c>
      <c r="C28" s="22">
        <f aca="true" t="shared" si="1" ref="C28:C34">D28+E28+F28+G28</f>
        <v>100</v>
      </c>
      <c r="D28" s="22">
        <f>ROUND(D27/C27*100,1)</f>
        <v>4.3</v>
      </c>
      <c r="E28" s="22">
        <f>ROUND(E27/C27*100,1)+0.1</f>
        <v>11.5</v>
      </c>
      <c r="F28" s="22">
        <f>ROUND(F27/C27*100,1)</f>
        <v>39.1</v>
      </c>
      <c r="G28" s="23">
        <f>ROUND(G27/C27*100,1)</f>
        <v>45.1</v>
      </c>
      <c r="H28" s="31"/>
    </row>
    <row r="29" spans="1:8" ht="12.75">
      <c r="A29" s="11" t="s">
        <v>14</v>
      </c>
      <c r="B29" s="18" t="s">
        <v>10</v>
      </c>
      <c r="C29" s="20">
        <f t="shared" si="1"/>
        <v>325659</v>
      </c>
      <c r="D29" s="20">
        <v>8323</v>
      </c>
      <c r="E29" s="20">
        <f>72283-D29</f>
        <v>63960</v>
      </c>
      <c r="F29" s="20">
        <f>124775-E29-D29</f>
        <v>52492</v>
      </c>
      <c r="G29" s="21">
        <f>325659-D29-E29-F29</f>
        <v>200884</v>
      </c>
      <c r="H29" s="31"/>
    </row>
    <row r="30" spans="1:8" ht="12.75">
      <c r="A30" s="17"/>
      <c r="B30" s="18" t="s">
        <v>11</v>
      </c>
      <c r="C30" s="22">
        <f t="shared" si="1"/>
        <v>100</v>
      </c>
      <c r="D30" s="22">
        <f>ROUND(D29/C29*100,1)</f>
        <v>2.6</v>
      </c>
      <c r="E30" s="22">
        <f>ROUND(E29/C29*100,1)</f>
        <v>19.6</v>
      </c>
      <c r="F30" s="22">
        <f>ROUND(F29/C29*100,1)</f>
        <v>16.1</v>
      </c>
      <c r="G30" s="23">
        <f>ROUND(G29/C29*100,1)</f>
        <v>61.7</v>
      </c>
      <c r="H30" s="31"/>
    </row>
    <row r="31" spans="1:8" ht="12.75">
      <c r="A31" s="11" t="s">
        <v>15</v>
      </c>
      <c r="B31" s="18" t="s">
        <v>10</v>
      </c>
      <c r="C31" s="20">
        <f t="shared" si="1"/>
        <v>589443</v>
      </c>
      <c r="D31" s="20">
        <v>15317</v>
      </c>
      <c r="E31" s="20">
        <f>97864-D31</f>
        <v>82547</v>
      </c>
      <c r="F31" s="20">
        <f>206746-E31-D31</f>
        <v>108882</v>
      </c>
      <c r="G31" s="21">
        <f>589443-D31-E31-F31</f>
        <v>382697</v>
      </c>
      <c r="H31" s="31"/>
    </row>
    <row r="32" spans="1:8" ht="12.75">
      <c r="A32" s="11"/>
      <c r="B32" s="24" t="s">
        <v>11</v>
      </c>
      <c r="C32" s="25">
        <f t="shared" si="1"/>
        <v>100</v>
      </c>
      <c r="D32" s="25">
        <f>ROUND(D31/C31*100,1)</f>
        <v>2.6</v>
      </c>
      <c r="E32" s="25">
        <f>ROUND(E31/C31*100,1)</f>
        <v>14</v>
      </c>
      <c r="F32" s="25">
        <f>ROUND(F31/C31*100,1)</f>
        <v>18.5</v>
      </c>
      <c r="G32" s="26">
        <f>ROUND(G31/C31*100,1)</f>
        <v>64.9</v>
      </c>
      <c r="H32" s="31"/>
    </row>
    <row r="33" spans="1:8" ht="12.75">
      <c r="A33" s="27" t="s">
        <v>24</v>
      </c>
      <c r="B33" s="28" t="s">
        <v>10</v>
      </c>
      <c r="C33" s="29">
        <f t="shared" si="1"/>
        <v>130060</v>
      </c>
      <c r="D33" s="29">
        <v>518</v>
      </c>
      <c r="E33" s="29">
        <f>2454-D33</f>
        <v>1936</v>
      </c>
      <c r="F33" s="29">
        <f>13850-E33-D33</f>
        <v>11396</v>
      </c>
      <c r="G33" s="30">
        <f>130060-D33-E33-F33</f>
        <v>116210</v>
      </c>
      <c r="H33" s="31"/>
    </row>
    <row r="34" spans="1:8" ht="13.5" thickBot="1">
      <c r="A34" s="10" t="s">
        <v>25</v>
      </c>
      <c r="B34" s="7" t="s">
        <v>11</v>
      </c>
      <c r="C34" s="15">
        <f t="shared" si="1"/>
        <v>100.00000000000001</v>
      </c>
      <c r="D34" s="15">
        <f>ROUND(D33/C33*100,1)</f>
        <v>0.4</v>
      </c>
      <c r="E34" s="15">
        <f>ROUND(E33/C33*100,1)</f>
        <v>1.5</v>
      </c>
      <c r="F34" s="15">
        <f>ROUND(F33/C33*100,1)</f>
        <v>8.8</v>
      </c>
      <c r="G34" s="6">
        <f>ROUND(G33/C33*100,1)-0.1</f>
        <v>89.30000000000001</v>
      </c>
      <c r="H34" s="31"/>
    </row>
    <row r="35" ht="12.75">
      <c r="H35" s="31"/>
    </row>
    <row r="36" spans="1:8" ht="15.75">
      <c r="A36" s="3" t="s">
        <v>17</v>
      </c>
      <c r="H36" s="31"/>
    </row>
    <row r="37" ht="13.5" thickBot="1">
      <c r="H37" s="31"/>
    </row>
    <row r="38" spans="1:8" ht="12.75">
      <c r="A38" s="8"/>
      <c r="B38" s="9"/>
      <c r="C38" s="12" t="s">
        <v>28</v>
      </c>
      <c r="D38" s="12"/>
      <c r="E38" s="12"/>
      <c r="F38" s="12"/>
      <c r="G38" s="13"/>
      <c r="H38" s="31"/>
    </row>
    <row r="39" spans="1:8" ht="13.5" thickBot="1">
      <c r="A39" s="10"/>
      <c r="B39" s="7"/>
      <c r="C39" s="14" t="s">
        <v>4</v>
      </c>
      <c r="D39" s="14" t="s">
        <v>5</v>
      </c>
      <c r="E39" s="14" t="s">
        <v>6</v>
      </c>
      <c r="F39" s="14" t="s">
        <v>7</v>
      </c>
      <c r="G39" s="7" t="s">
        <v>8</v>
      </c>
      <c r="H39" s="31"/>
    </row>
    <row r="40" spans="1:8" ht="12.75">
      <c r="A40" s="11" t="s">
        <v>9</v>
      </c>
      <c r="B40" s="18" t="s">
        <v>10</v>
      </c>
      <c r="C40" s="20">
        <f>C43+C45+C47+C49</f>
        <v>13655337</v>
      </c>
      <c r="D40" s="20">
        <f>D43+D45+D47+D49</f>
        <v>2131520</v>
      </c>
      <c r="E40" s="20">
        <f>E43+E45+E47+E49</f>
        <v>3257010</v>
      </c>
      <c r="F40" s="20">
        <f>F43+F45+F47+F49</f>
        <v>3103763</v>
      </c>
      <c r="G40" s="21">
        <f>G43+G45+G47+G49</f>
        <v>5163044</v>
      </c>
      <c r="H40" s="31"/>
    </row>
    <row r="41" spans="1:8" ht="13.5" thickBot="1">
      <c r="A41" s="10"/>
      <c r="B41" s="7" t="s">
        <v>11</v>
      </c>
      <c r="C41" s="15">
        <f>D41+E41+F41+G41</f>
        <v>100</v>
      </c>
      <c r="D41" s="15">
        <f>ROUND(D40/C40*100,1)</f>
        <v>15.6</v>
      </c>
      <c r="E41" s="15">
        <f>ROUND(E40/C40*100,1)</f>
        <v>23.9</v>
      </c>
      <c r="F41" s="15">
        <f>ROUND(F40/C40*100,1)</f>
        <v>22.7</v>
      </c>
      <c r="G41" s="6">
        <f>ROUND(G40/C40*100,1)</f>
        <v>37.8</v>
      </c>
      <c r="H41" s="31"/>
    </row>
    <row r="42" spans="1:8" ht="12.75">
      <c r="A42" s="17" t="s">
        <v>12</v>
      </c>
      <c r="B42" s="18"/>
      <c r="C42" s="19"/>
      <c r="D42" s="19"/>
      <c r="E42" s="19"/>
      <c r="F42" s="19"/>
      <c r="G42" s="18"/>
      <c r="H42" s="31"/>
    </row>
    <row r="43" spans="1:8" ht="12.75">
      <c r="A43" s="11" t="s">
        <v>13</v>
      </c>
      <c r="B43" s="18" t="s">
        <v>10</v>
      </c>
      <c r="C43" s="20">
        <f aca="true" t="shared" si="2" ref="C43:C50">D43+E43+F43+G43</f>
        <v>1837022</v>
      </c>
      <c r="D43" s="20">
        <v>204902</v>
      </c>
      <c r="E43" s="20">
        <f>629070-D43</f>
        <v>424168</v>
      </c>
      <c r="F43" s="20">
        <f>1068266-E43-D43</f>
        <v>439196</v>
      </c>
      <c r="G43" s="21">
        <f>1837022-D43-E43-F43</f>
        <v>768756</v>
      </c>
      <c r="H43" s="31"/>
    </row>
    <row r="44" spans="1:8" ht="12.75">
      <c r="A44" s="17"/>
      <c r="B44" s="18" t="s">
        <v>11</v>
      </c>
      <c r="C44" s="22">
        <f t="shared" si="2"/>
        <v>100</v>
      </c>
      <c r="D44" s="22">
        <f>ROUND(D43/C43*100,1)</f>
        <v>11.2</v>
      </c>
      <c r="E44" s="22">
        <f>ROUND(E43/C43*100,1)</f>
        <v>23.1</v>
      </c>
      <c r="F44" s="22">
        <f>ROUND(F43/C43*100,1)</f>
        <v>23.9</v>
      </c>
      <c r="G44" s="23">
        <f>ROUND(G43/C43*100,1)</f>
        <v>41.8</v>
      </c>
      <c r="H44" s="31"/>
    </row>
    <row r="45" spans="1:8" ht="12.75">
      <c r="A45" s="11" t="s">
        <v>14</v>
      </c>
      <c r="B45" s="18" t="s">
        <v>10</v>
      </c>
      <c r="C45" s="20">
        <f t="shared" si="2"/>
        <v>6285173</v>
      </c>
      <c r="D45" s="20">
        <v>1009307</v>
      </c>
      <c r="E45" s="20">
        <f>2505488-D45</f>
        <v>1496181</v>
      </c>
      <c r="F45" s="20">
        <f>3948429-E45-D45</f>
        <v>1442941</v>
      </c>
      <c r="G45" s="21">
        <f>6285173-D45-E45-F45</f>
        <v>2336744</v>
      </c>
      <c r="H45" s="31"/>
    </row>
    <row r="46" spans="1:8" ht="12.75">
      <c r="A46" s="17"/>
      <c r="B46" s="18" t="s">
        <v>11</v>
      </c>
      <c r="C46" s="22">
        <f t="shared" si="2"/>
        <v>100</v>
      </c>
      <c r="D46" s="22">
        <f>ROUND(D45/C45*100,1)</f>
        <v>16.1</v>
      </c>
      <c r="E46" s="22">
        <f>ROUND(E45/C45*100,1)-0.1</f>
        <v>23.7</v>
      </c>
      <c r="F46" s="22">
        <f>ROUND(F45/C45*100,1)</f>
        <v>23</v>
      </c>
      <c r="G46" s="23">
        <f>ROUND(G45/C45*100,1)</f>
        <v>37.2</v>
      </c>
      <c r="H46" s="31"/>
    </row>
    <row r="47" spans="1:8" ht="12.75">
      <c r="A47" s="11" t="s">
        <v>15</v>
      </c>
      <c r="B47" s="18" t="s">
        <v>10</v>
      </c>
      <c r="C47" s="20">
        <f t="shared" si="2"/>
        <v>4151560</v>
      </c>
      <c r="D47" s="20">
        <v>709229</v>
      </c>
      <c r="E47" s="20">
        <f>1778323-D47</f>
        <v>1069094</v>
      </c>
      <c r="F47" s="20">
        <f>2745052-E47-D47</f>
        <v>966729</v>
      </c>
      <c r="G47" s="21">
        <f>4151560-D47-E47-F47</f>
        <v>1406508</v>
      </c>
      <c r="H47" s="31"/>
    </row>
    <row r="48" spans="1:8" ht="12.75">
      <c r="A48" s="11"/>
      <c r="B48" s="24" t="s">
        <v>11</v>
      </c>
      <c r="C48" s="25">
        <f t="shared" si="2"/>
        <v>100</v>
      </c>
      <c r="D48" s="25">
        <f>ROUND(D47/C47*100,1)</f>
        <v>17.1</v>
      </c>
      <c r="E48" s="25">
        <f>ROUND(E47/C47*100,1)-0.1</f>
        <v>25.7</v>
      </c>
      <c r="F48" s="25">
        <f>ROUND(F47/C47*100,1)</f>
        <v>23.3</v>
      </c>
      <c r="G48" s="26">
        <f>ROUND(G47/C47*100,1)</f>
        <v>33.9</v>
      </c>
      <c r="H48" s="31"/>
    </row>
    <row r="49" spans="1:8" ht="12.75">
      <c r="A49" s="27" t="s">
        <v>24</v>
      </c>
      <c r="B49" s="28" t="s">
        <v>10</v>
      </c>
      <c r="C49" s="29">
        <f t="shared" si="2"/>
        <v>1381582</v>
      </c>
      <c r="D49" s="29">
        <v>208082</v>
      </c>
      <c r="E49" s="29">
        <f>475649-D49</f>
        <v>267567</v>
      </c>
      <c r="F49" s="29">
        <f>730546-E49-D49</f>
        <v>254897</v>
      </c>
      <c r="G49" s="30">
        <f>1381582-D49-E49-F49</f>
        <v>651036</v>
      </c>
      <c r="H49" s="31"/>
    </row>
    <row r="50" spans="1:8" ht="13.5" thickBot="1">
      <c r="A50" s="10" t="s">
        <v>25</v>
      </c>
      <c r="B50" s="7" t="s">
        <v>11</v>
      </c>
      <c r="C50" s="15">
        <f t="shared" si="2"/>
        <v>100</v>
      </c>
      <c r="D50" s="15">
        <f>ROUND(D49/C49*100,1)</f>
        <v>15.1</v>
      </c>
      <c r="E50" s="15">
        <f>ROUND(E49/C49*100,1)</f>
        <v>19.4</v>
      </c>
      <c r="F50" s="15">
        <f>ROUND(F49/C49*100,1)</f>
        <v>18.4</v>
      </c>
      <c r="G50" s="6">
        <f>ROUND(G49/C49*100,1)</f>
        <v>47.1</v>
      </c>
      <c r="H50" s="31"/>
    </row>
    <row r="52" spans="4:8" ht="12.75">
      <c r="D52" s="5"/>
      <c r="H52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K25" sqref="K25"/>
    </sheetView>
  </sheetViews>
  <sheetFormatPr defaultColWidth="9.125" defaultRowHeight="12.75"/>
  <cols>
    <col min="1" max="1" width="21.875" style="1" customWidth="1"/>
    <col min="2" max="2" width="16.25390625" style="1" customWidth="1"/>
    <col min="3" max="16384" width="9.125" style="1" customWidth="1"/>
  </cols>
  <sheetData>
    <row r="1" spans="1:7" ht="18.75">
      <c r="A1" s="16" t="s">
        <v>0</v>
      </c>
      <c r="B1" s="2"/>
      <c r="C1" s="2"/>
      <c r="D1" s="2"/>
      <c r="E1" s="2"/>
      <c r="F1" s="2"/>
      <c r="G1" s="2"/>
    </row>
    <row r="2" spans="1:7" ht="18.75">
      <c r="A2" s="16" t="s">
        <v>30</v>
      </c>
      <c r="B2" s="2"/>
      <c r="C2" s="2"/>
      <c r="D2" s="2"/>
      <c r="E2" s="2"/>
      <c r="F2" s="2"/>
      <c r="G2" s="2"/>
    </row>
    <row r="4" ht="15.75">
      <c r="A4" s="3" t="s">
        <v>2</v>
      </c>
    </row>
    <row r="5" ht="13.5" thickBot="1"/>
    <row r="6" spans="1:7" ht="12.75">
      <c r="A6" s="8"/>
      <c r="B6" s="9"/>
      <c r="C6" s="12" t="s">
        <v>31</v>
      </c>
      <c r="D6" s="12"/>
      <c r="E6" s="12"/>
      <c r="F6" s="12"/>
      <c r="G6" s="13"/>
    </row>
    <row r="7" spans="1:7" ht="13.5" thickBot="1">
      <c r="A7" s="10"/>
      <c r="B7" s="7"/>
      <c r="C7" s="14" t="s">
        <v>4</v>
      </c>
      <c r="D7" s="14" t="s">
        <v>5</v>
      </c>
      <c r="E7" s="14" t="s">
        <v>6</v>
      </c>
      <c r="F7" s="14" t="s">
        <v>7</v>
      </c>
      <c r="G7" s="7" t="s">
        <v>8</v>
      </c>
    </row>
    <row r="8" spans="1:8" ht="12.75">
      <c r="A8" s="11" t="s">
        <v>9</v>
      </c>
      <c r="B8" s="18" t="s">
        <v>10</v>
      </c>
      <c r="C8" s="20">
        <f>C11+C13+C15+C17</f>
        <v>17314427</v>
      </c>
      <c r="D8" s="20">
        <f>D11+D13+D15+D17</f>
        <v>2647847</v>
      </c>
      <c r="E8" s="20">
        <f>E11+E13+E15+E17</f>
        <v>3879652</v>
      </c>
      <c r="F8" s="20">
        <f>F11+F13+F15+F17</f>
        <v>3798849</v>
      </c>
      <c r="G8" s="21">
        <f>G11+G13+G15+G17</f>
        <v>6988079</v>
      </c>
      <c r="H8" s="5"/>
    </row>
    <row r="9" spans="1:7" ht="13.5" thickBot="1">
      <c r="A9" s="10"/>
      <c r="B9" s="7" t="s">
        <v>11</v>
      </c>
      <c r="C9" s="15">
        <f>D9+E9+F9+G9</f>
        <v>100</v>
      </c>
      <c r="D9" s="15">
        <f>ROUND(D8/C8*100,1)</f>
        <v>15.3</v>
      </c>
      <c r="E9" s="15">
        <f>ROUND(E8/C8*100,1)</f>
        <v>22.4</v>
      </c>
      <c r="F9" s="15">
        <f>ROUND(F8/C8*100,1)</f>
        <v>21.9</v>
      </c>
      <c r="G9" s="6">
        <f>ROUND(G8/C8*100,1)</f>
        <v>40.4</v>
      </c>
    </row>
    <row r="10" spans="1:7" ht="12.75">
      <c r="A10" s="17" t="s">
        <v>12</v>
      </c>
      <c r="B10" s="18"/>
      <c r="C10" s="19"/>
      <c r="D10" s="19"/>
      <c r="E10" s="19"/>
      <c r="F10" s="19"/>
      <c r="G10" s="18"/>
    </row>
    <row r="11" spans="1:9" ht="12.75">
      <c r="A11" s="11" t="s">
        <v>13</v>
      </c>
      <c r="B11" s="18" t="s">
        <v>10</v>
      </c>
      <c r="C11" s="20">
        <f aca="true" t="shared" si="0" ref="C11:C18">D11+E11+F11+G11</f>
        <v>2879134</v>
      </c>
      <c r="D11" s="20">
        <f>D27+D43</f>
        <v>342213</v>
      </c>
      <c r="E11" s="20">
        <f>E27+E43</f>
        <v>591057</v>
      </c>
      <c r="F11" s="20">
        <f>F27+F43</f>
        <v>510852</v>
      </c>
      <c r="G11" s="21">
        <f>G27+G43</f>
        <v>1435012</v>
      </c>
      <c r="I11" s="5"/>
    </row>
    <row r="12" spans="1:8" ht="12.75">
      <c r="A12" s="17"/>
      <c r="B12" s="18" t="s">
        <v>11</v>
      </c>
      <c r="C12" s="22">
        <f t="shared" si="0"/>
        <v>100</v>
      </c>
      <c r="D12" s="22">
        <f>ROUND(D11/C11*100,1)</f>
        <v>11.9</v>
      </c>
      <c r="E12" s="22">
        <f>ROUND(E11/C11*100,1)</f>
        <v>20.5</v>
      </c>
      <c r="F12" s="22">
        <f>ROUND(F11/C11*100,1)</f>
        <v>17.7</v>
      </c>
      <c r="G12" s="23">
        <f>ROUND(G11/C11*100,1)+0.1</f>
        <v>49.9</v>
      </c>
      <c r="H12" s="31"/>
    </row>
    <row r="13" spans="1:7" ht="12.75">
      <c r="A13" s="11" t="s">
        <v>14</v>
      </c>
      <c r="B13" s="18" t="s">
        <v>10</v>
      </c>
      <c r="C13" s="20">
        <f t="shared" si="0"/>
        <v>7635423</v>
      </c>
      <c r="D13" s="20">
        <f>D29+D45</f>
        <v>1194596</v>
      </c>
      <c r="E13" s="20">
        <f>E29+E45</f>
        <v>1822127</v>
      </c>
      <c r="F13" s="20">
        <f>F29+F45</f>
        <v>1744275</v>
      </c>
      <c r="G13" s="21">
        <f>G29+G45</f>
        <v>2874425</v>
      </c>
    </row>
    <row r="14" spans="1:8" ht="12.75">
      <c r="A14" s="17"/>
      <c r="B14" s="18" t="s">
        <v>11</v>
      </c>
      <c r="C14" s="22">
        <f t="shared" si="0"/>
        <v>100</v>
      </c>
      <c r="D14" s="22">
        <f>ROUND(D13/C13*100,1)</f>
        <v>15.6</v>
      </c>
      <c r="E14" s="22">
        <f>ROUND(E13/C13*100,1)</f>
        <v>23.9</v>
      </c>
      <c r="F14" s="22">
        <f>ROUND(F13/C13*100,1)</f>
        <v>22.8</v>
      </c>
      <c r="G14" s="23">
        <f>ROUND(G13/C13*100,1)+0.1</f>
        <v>37.7</v>
      </c>
      <c r="H14" s="31"/>
    </row>
    <row r="15" spans="1:8" ht="12.75">
      <c r="A15" s="11" t="s">
        <v>15</v>
      </c>
      <c r="B15" s="18" t="s">
        <v>10</v>
      </c>
      <c r="C15" s="20">
        <f t="shared" si="0"/>
        <v>4854309</v>
      </c>
      <c r="D15" s="20">
        <f>D31+D47</f>
        <v>812083</v>
      </c>
      <c r="E15" s="20">
        <f>E31+E47</f>
        <v>1079985</v>
      </c>
      <c r="F15" s="20">
        <f>F31+F47</f>
        <v>1164204</v>
      </c>
      <c r="G15" s="21">
        <f>G31+G47</f>
        <v>1798037</v>
      </c>
      <c r="H15" s="31"/>
    </row>
    <row r="16" spans="1:8" ht="12.75">
      <c r="A16" s="11"/>
      <c r="B16" s="24" t="s">
        <v>11</v>
      </c>
      <c r="C16" s="25">
        <f t="shared" si="0"/>
        <v>100</v>
      </c>
      <c r="D16" s="25">
        <f>ROUND(D15/C15*100,1)</f>
        <v>16.7</v>
      </c>
      <c r="E16" s="25">
        <f>ROUND(E15/C15*100,1)</f>
        <v>22.2</v>
      </c>
      <c r="F16" s="25">
        <f>ROUND(F15/C15*100,1)</f>
        <v>24</v>
      </c>
      <c r="G16" s="26">
        <f>ROUND(G15/C15*100,1)+0.1</f>
        <v>37.1</v>
      </c>
      <c r="H16" s="31"/>
    </row>
    <row r="17" spans="1:8" ht="12.75">
      <c r="A17" s="27" t="s">
        <v>24</v>
      </c>
      <c r="B17" s="28" t="s">
        <v>10</v>
      </c>
      <c r="C17" s="29">
        <f t="shared" si="0"/>
        <v>1945561</v>
      </c>
      <c r="D17" s="29">
        <f>D33+D49</f>
        <v>298955</v>
      </c>
      <c r="E17" s="29">
        <f>E33+E49</f>
        <v>386483</v>
      </c>
      <c r="F17" s="29">
        <f>F33+F49</f>
        <v>379518</v>
      </c>
      <c r="G17" s="30">
        <f>G33+G49</f>
        <v>880605</v>
      </c>
      <c r="H17" s="31"/>
    </row>
    <row r="18" spans="1:8" ht="13.5" thickBot="1">
      <c r="A18" s="10" t="s">
        <v>25</v>
      </c>
      <c r="B18" s="7" t="s">
        <v>11</v>
      </c>
      <c r="C18" s="15">
        <f t="shared" si="0"/>
        <v>100</v>
      </c>
      <c r="D18" s="15">
        <f>ROUND(D17/C17*100,1)</f>
        <v>15.4</v>
      </c>
      <c r="E18" s="15">
        <f>ROUND(E17/C17*100,1)</f>
        <v>19.9</v>
      </c>
      <c r="F18" s="15">
        <f>ROUND(F17/C17*100,1)</f>
        <v>19.5</v>
      </c>
      <c r="G18" s="6">
        <f>ROUND(G17/C17*100,1)-0.1</f>
        <v>45.199999999999996</v>
      </c>
      <c r="H18" s="31"/>
    </row>
    <row r="19" spans="3:8" ht="12.75">
      <c r="C19" s="5"/>
      <c r="H19" s="31"/>
    </row>
    <row r="20" spans="1:8" ht="15.75">
      <c r="A20" s="4" t="s">
        <v>16</v>
      </c>
      <c r="H20" s="31"/>
    </row>
    <row r="21" ht="13.5" thickBot="1">
      <c r="H21" s="31"/>
    </row>
    <row r="22" spans="1:8" ht="12.75">
      <c r="A22" s="8"/>
      <c r="B22" s="9"/>
      <c r="C22" s="12" t="s">
        <v>31</v>
      </c>
      <c r="D22" s="12"/>
      <c r="E22" s="12"/>
      <c r="F22" s="12"/>
      <c r="G22" s="13"/>
      <c r="H22" s="31"/>
    </row>
    <row r="23" spans="1:8" ht="13.5" thickBot="1">
      <c r="A23" s="10"/>
      <c r="B23" s="7"/>
      <c r="C23" s="14" t="s">
        <v>4</v>
      </c>
      <c r="D23" s="14" t="s">
        <v>5</v>
      </c>
      <c r="E23" s="14" t="s">
        <v>6</v>
      </c>
      <c r="F23" s="14" t="s">
        <v>7</v>
      </c>
      <c r="G23" s="7" t="s">
        <v>8</v>
      </c>
      <c r="H23" s="31"/>
    </row>
    <row r="24" spans="1:8" ht="12.75">
      <c r="A24" s="11" t="s">
        <v>9</v>
      </c>
      <c r="B24" s="18" t="s">
        <v>10</v>
      </c>
      <c r="C24" s="20">
        <f>D24+E24+F24+G24</f>
        <v>1791982</v>
      </c>
      <c r="D24" s="20">
        <f>D27+D29+D31+D33</f>
        <v>121299</v>
      </c>
      <c r="E24" s="20">
        <f>E27+E29+E31+E33</f>
        <v>272435</v>
      </c>
      <c r="F24" s="20">
        <f>F27+F29+F31+F33</f>
        <v>245332</v>
      </c>
      <c r="G24" s="21">
        <f>G27+G29+G31+G33</f>
        <v>1152916</v>
      </c>
      <c r="H24" s="31"/>
    </row>
    <row r="25" spans="1:8" ht="13.5" thickBot="1">
      <c r="A25" s="10"/>
      <c r="B25" s="7" t="s">
        <v>11</v>
      </c>
      <c r="C25" s="15">
        <f>D25+E25+F25+G25</f>
        <v>100</v>
      </c>
      <c r="D25" s="15">
        <f>ROUND(D24/C24*100,1)</f>
        <v>6.8</v>
      </c>
      <c r="E25" s="15">
        <f>ROUND(E24/C24*100,1)</f>
        <v>15.2</v>
      </c>
      <c r="F25" s="15">
        <f>ROUND(F24/C24*100,1)</f>
        <v>13.7</v>
      </c>
      <c r="G25" s="6">
        <f>ROUND(G24/C24*100,1)</f>
        <v>64.3</v>
      </c>
      <c r="H25" s="31"/>
    </row>
    <row r="26" spans="1:8" ht="12.75">
      <c r="A26" s="17" t="s">
        <v>12</v>
      </c>
      <c r="B26" s="18"/>
      <c r="C26" s="36"/>
      <c r="D26" s="36"/>
      <c r="E26" s="36"/>
      <c r="F26" s="36"/>
      <c r="G26" s="37"/>
      <c r="H26" s="31"/>
    </row>
    <row r="27" spans="1:8" ht="12.75">
      <c r="A27" s="11" t="s">
        <v>13</v>
      </c>
      <c r="B27" s="18" t="s">
        <v>10</v>
      </c>
      <c r="C27" s="32">
        <f>SUM(D27:G27)</f>
        <v>767091</v>
      </c>
      <c r="D27" s="32">
        <v>61473</v>
      </c>
      <c r="E27" s="32">
        <f>197645-D27</f>
        <v>136172</v>
      </c>
      <c r="F27" s="32">
        <f>302623-E27-D27</f>
        <v>104978</v>
      </c>
      <c r="G27" s="38">
        <f>767091-D27-E27-F27</f>
        <v>464468</v>
      </c>
      <c r="H27" s="31"/>
    </row>
    <row r="28" spans="1:8" ht="12.75">
      <c r="A28" s="17"/>
      <c r="B28" s="18" t="s">
        <v>11</v>
      </c>
      <c r="C28" s="33">
        <f aca="true" t="shared" si="1" ref="C28:C34">D28+E28+F28+G28</f>
        <v>100</v>
      </c>
      <c r="D28" s="33">
        <f>ROUND(D27/C27*100,1)</f>
        <v>8</v>
      </c>
      <c r="E28" s="33">
        <f>ROUND(E27/C27*100,1)</f>
        <v>17.8</v>
      </c>
      <c r="F28" s="33">
        <f>ROUND(F27/C27*100,1)</f>
        <v>13.7</v>
      </c>
      <c r="G28" s="39">
        <f>ROUND(G27/C27*100,1)</f>
        <v>60.5</v>
      </c>
      <c r="H28" s="31"/>
    </row>
    <row r="29" spans="1:8" ht="12.75">
      <c r="A29" s="11" t="s">
        <v>14</v>
      </c>
      <c r="B29" s="18" t="s">
        <v>10</v>
      </c>
      <c r="C29" s="32">
        <f t="shared" si="1"/>
        <v>335421</v>
      </c>
      <c r="D29" s="32">
        <v>909</v>
      </c>
      <c r="E29" s="32">
        <f>41778-D29</f>
        <v>40869</v>
      </c>
      <c r="F29" s="32">
        <f>55547-E29-D29</f>
        <v>13769</v>
      </c>
      <c r="G29" s="38">
        <f>335421-D29-E29-F29</f>
        <v>279874</v>
      </c>
      <c r="H29" s="31"/>
    </row>
    <row r="30" spans="1:8" ht="12.75">
      <c r="A30" s="17"/>
      <c r="B30" s="18" t="s">
        <v>11</v>
      </c>
      <c r="C30" s="33">
        <f t="shared" si="1"/>
        <v>100</v>
      </c>
      <c r="D30" s="33">
        <f>ROUND(D29/C29*100,1)</f>
        <v>0.3</v>
      </c>
      <c r="E30" s="33">
        <f>ROUND(E29/C29*100,1)</f>
        <v>12.2</v>
      </c>
      <c r="F30" s="33">
        <f>ROUND(F29/C29*100,1)</f>
        <v>4.1</v>
      </c>
      <c r="G30" s="39">
        <f>ROUND(G29/C29*100,1)</f>
        <v>83.4</v>
      </c>
      <c r="H30" s="31"/>
    </row>
    <row r="31" spans="1:8" ht="12.75">
      <c r="A31" s="11" t="s">
        <v>15</v>
      </c>
      <c r="B31" s="18" t="s">
        <v>10</v>
      </c>
      <c r="C31" s="32">
        <f t="shared" si="1"/>
        <v>484765</v>
      </c>
      <c r="D31" s="32">
        <v>35101</v>
      </c>
      <c r="E31" s="32">
        <f>86611-D31</f>
        <v>51510</v>
      </c>
      <c r="F31" s="32">
        <f>183317-E31-D31</f>
        <v>96706</v>
      </c>
      <c r="G31" s="38">
        <f>484765-D31-E31-F31</f>
        <v>301448</v>
      </c>
      <c r="H31" s="31"/>
    </row>
    <row r="32" spans="1:8" ht="12.75">
      <c r="A32" s="11"/>
      <c r="B32" s="24" t="s">
        <v>11</v>
      </c>
      <c r="C32" s="34">
        <f t="shared" si="1"/>
        <v>100</v>
      </c>
      <c r="D32" s="34">
        <f>ROUND(D31/C31*100,1)</f>
        <v>7.2</v>
      </c>
      <c r="E32" s="34">
        <f>ROUND(E31/C31*100,1)</f>
        <v>10.6</v>
      </c>
      <c r="F32" s="34">
        <f>ROUND(F31/C31*100,1)</f>
        <v>19.9</v>
      </c>
      <c r="G32" s="40">
        <f>ROUND(G31/C31*100,1)+0.1</f>
        <v>62.300000000000004</v>
      </c>
      <c r="H32" s="31"/>
    </row>
    <row r="33" spans="1:8" ht="12.75">
      <c r="A33" s="27" t="s">
        <v>24</v>
      </c>
      <c r="B33" s="28" t="s">
        <v>10</v>
      </c>
      <c r="C33" s="35">
        <f t="shared" si="1"/>
        <v>204705</v>
      </c>
      <c r="D33" s="35">
        <v>23816</v>
      </c>
      <c r="E33" s="35">
        <f>67700-D33</f>
        <v>43884</v>
      </c>
      <c r="F33" s="35">
        <f>97579-E33-D33</f>
        <v>29879</v>
      </c>
      <c r="G33" s="41">
        <f>204705-D33-E33-F33</f>
        <v>107126</v>
      </c>
      <c r="H33" s="31"/>
    </row>
    <row r="34" spans="1:8" ht="13.5" thickBot="1">
      <c r="A34" s="10" t="s">
        <v>25</v>
      </c>
      <c r="B34" s="7" t="s">
        <v>11</v>
      </c>
      <c r="C34" s="42">
        <f t="shared" si="1"/>
        <v>100</v>
      </c>
      <c r="D34" s="42">
        <f>ROUND(D33/C33*100,1)</f>
        <v>11.6</v>
      </c>
      <c r="E34" s="42">
        <f>ROUND(E33/C33*100,1)</f>
        <v>21.4</v>
      </c>
      <c r="F34" s="42">
        <f>ROUND(F33/C33*100,1)</f>
        <v>14.6</v>
      </c>
      <c r="G34" s="43">
        <f>ROUND(G33/C33*100,1)+0.1</f>
        <v>52.4</v>
      </c>
      <c r="H34" s="31"/>
    </row>
    <row r="35" spans="3:8" ht="12.75">
      <c r="C35" s="44"/>
      <c r="D35" s="44"/>
      <c r="E35" s="44"/>
      <c r="F35" s="44"/>
      <c r="G35" s="44"/>
      <c r="H35" s="31"/>
    </row>
    <row r="36" spans="1:8" ht="15.75">
      <c r="A36" s="3" t="s">
        <v>17</v>
      </c>
      <c r="C36" s="44"/>
      <c r="D36" s="44"/>
      <c r="E36" s="44"/>
      <c r="F36" s="44"/>
      <c r="G36" s="44"/>
      <c r="H36" s="31"/>
    </row>
    <row r="37" spans="3:8" ht="13.5" thickBot="1">
      <c r="C37" s="44"/>
      <c r="D37" s="44"/>
      <c r="E37" s="44"/>
      <c r="F37" s="44"/>
      <c r="G37" s="44"/>
      <c r="H37" s="31"/>
    </row>
    <row r="38" spans="1:8" ht="12.75">
      <c r="A38" s="8"/>
      <c r="B38" s="9"/>
      <c r="C38" s="45" t="s">
        <v>31</v>
      </c>
      <c r="D38" s="45"/>
      <c r="E38" s="45"/>
      <c r="F38" s="45"/>
      <c r="G38" s="46"/>
      <c r="H38" s="31"/>
    </row>
    <row r="39" spans="1:8" ht="13.5" thickBot="1">
      <c r="A39" s="10"/>
      <c r="B39" s="7"/>
      <c r="C39" s="47" t="s">
        <v>4</v>
      </c>
      <c r="D39" s="47" t="s">
        <v>5</v>
      </c>
      <c r="E39" s="47" t="s">
        <v>6</v>
      </c>
      <c r="F39" s="47" t="s">
        <v>7</v>
      </c>
      <c r="G39" s="48" t="s">
        <v>8</v>
      </c>
      <c r="H39" s="31"/>
    </row>
    <row r="40" spans="1:8" ht="12.75">
      <c r="A40" s="11" t="s">
        <v>9</v>
      </c>
      <c r="B40" s="18" t="s">
        <v>10</v>
      </c>
      <c r="C40" s="32">
        <f>C43+C45+C47+C49</f>
        <v>15522445</v>
      </c>
      <c r="D40" s="32">
        <f>D43+D45+D47+D49</f>
        <v>2526548</v>
      </c>
      <c r="E40" s="32">
        <f>E43+E45+E47+E49</f>
        <v>3607217</v>
      </c>
      <c r="F40" s="32">
        <f>F43+F45+F47+F49</f>
        <v>3553517</v>
      </c>
      <c r="G40" s="38">
        <f>G43+G45+G47+G49</f>
        <v>5835163</v>
      </c>
      <c r="H40" s="31"/>
    </row>
    <row r="41" spans="1:8" ht="13.5" thickBot="1">
      <c r="A41" s="10"/>
      <c r="B41" s="7" t="s">
        <v>11</v>
      </c>
      <c r="C41" s="42">
        <f>D41+E41+F41+G41</f>
        <v>100</v>
      </c>
      <c r="D41" s="42">
        <f>ROUND(D40/C40*100,1)</f>
        <v>16.3</v>
      </c>
      <c r="E41" s="42">
        <f>ROUND(E40/C40*100,1)</f>
        <v>23.2</v>
      </c>
      <c r="F41" s="42">
        <f>ROUND(F40/C40*100,1)</f>
        <v>22.9</v>
      </c>
      <c r="G41" s="43">
        <f>ROUND(G40/C40*100,1)</f>
        <v>37.6</v>
      </c>
      <c r="H41" s="31"/>
    </row>
    <row r="42" spans="1:8" ht="12.75">
      <c r="A42" s="17" t="s">
        <v>12</v>
      </c>
      <c r="B42" s="18"/>
      <c r="C42" s="36"/>
      <c r="D42" s="36"/>
      <c r="E42" s="36"/>
      <c r="F42" s="36"/>
      <c r="G42" s="37"/>
      <c r="H42" s="31"/>
    </row>
    <row r="43" spans="1:8" ht="12.75">
      <c r="A43" s="11" t="s">
        <v>13</v>
      </c>
      <c r="B43" s="18" t="s">
        <v>10</v>
      </c>
      <c r="C43" s="32">
        <f aca="true" t="shared" si="2" ref="C43:C50">D43+E43+F43+G43</f>
        <v>2112043</v>
      </c>
      <c r="D43" s="32">
        <v>280740</v>
      </c>
      <c r="E43" s="32">
        <f>735625-D43</f>
        <v>454885</v>
      </c>
      <c r="F43" s="32">
        <f>1141499-E43-D43</f>
        <v>405874</v>
      </c>
      <c r="G43" s="38">
        <f>2112042-D43-E43-F43+1</f>
        <v>970544</v>
      </c>
      <c r="H43" s="31"/>
    </row>
    <row r="44" spans="1:8" ht="12.75">
      <c r="A44" s="17"/>
      <c r="B44" s="18" t="s">
        <v>11</v>
      </c>
      <c r="C44" s="33">
        <f t="shared" si="2"/>
        <v>100</v>
      </c>
      <c r="D44" s="33">
        <f>ROUND(D43/C43*100,1)</f>
        <v>13.3</v>
      </c>
      <c r="E44" s="33">
        <f>ROUND(E43/C43*100,1)</f>
        <v>21.5</v>
      </c>
      <c r="F44" s="33">
        <f>ROUND(F43/C43*100,1)</f>
        <v>19.2</v>
      </c>
      <c r="G44" s="39">
        <f>ROUND(G43/C43*100,1)</f>
        <v>46</v>
      </c>
      <c r="H44" s="31"/>
    </row>
    <row r="45" spans="1:8" ht="12.75">
      <c r="A45" s="11" t="s">
        <v>14</v>
      </c>
      <c r="B45" s="18" t="s">
        <v>10</v>
      </c>
      <c r="C45" s="32">
        <f t="shared" si="2"/>
        <v>7300002</v>
      </c>
      <c r="D45" s="32">
        <v>1193687</v>
      </c>
      <c r="E45" s="32">
        <f>2974945-D45</f>
        <v>1781258</v>
      </c>
      <c r="F45" s="32">
        <f>4705451-E45-D45</f>
        <v>1730506</v>
      </c>
      <c r="G45" s="38">
        <f>7300002-D45-E45-F45</f>
        <v>2594551</v>
      </c>
      <c r="H45" s="31"/>
    </row>
    <row r="46" spans="1:8" ht="12.75">
      <c r="A46" s="17"/>
      <c r="B46" s="18" t="s">
        <v>11</v>
      </c>
      <c r="C46" s="33">
        <f t="shared" si="2"/>
        <v>100</v>
      </c>
      <c r="D46" s="33">
        <f>ROUND(D45/C45*100,1)</f>
        <v>16.4</v>
      </c>
      <c r="E46" s="33">
        <f>ROUND(E45/C45*100,1)</f>
        <v>24.4</v>
      </c>
      <c r="F46" s="33">
        <f>ROUND(F45/C45*100,1)</f>
        <v>23.7</v>
      </c>
      <c r="G46" s="39">
        <f>ROUND(G45/C45*100,1)</f>
        <v>35.5</v>
      </c>
      <c r="H46" s="31"/>
    </row>
    <row r="47" spans="1:8" ht="12.75">
      <c r="A47" s="11" t="s">
        <v>15</v>
      </c>
      <c r="B47" s="18" t="s">
        <v>10</v>
      </c>
      <c r="C47" s="32">
        <f t="shared" si="2"/>
        <v>4369544</v>
      </c>
      <c r="D47" s="32">
        <v>776982</v>
      </c>
      <c r="E47" s="32">
        <f>1805457-D47</f>
        <v>1028475</v>
      </c>
      <c r="F47" s="32">
        <f>2872955-E47-D47</f>
        <v>1067498</v>
      </c>
      <c r="G47" s="38">
        <f>4369544-D47-E47-F47</f>
        <v>1496589</v>
      </c>
      <c r="H47" s="31"/>
    </row>
    <row r="48" spans="1:8" ht="12.75">
      <c r="A48" s="11"/>
      <c r="B48" s="24" t="s">
        <v>11</v>
      </c>
      <c r="C48" s="34">
        <f t="shared" si="2"/>
        <v>99.99999999999999</v>
      </c>
      <c r="D48" s="34">
        <f>ROUND(D47/C47*100,1)</f>
        <v>17.8</v>
      </c>
      <c r="E48" s="34">
        <f>ROUND(E47/C47*100,1)</f>
        <v>23.5</v>
      </c>
      <c r="F48" s="34">
        <f>ROUND(F47/C47*100,1)</f>
        <v>24.4</v>
      </c>
      <c r="G48" s="40">
        <f>ROUND(G47/C47*100,1)</f>
        <v>34.3</v>
      </c>
      <c r="H48" s="31"/>
    </row>
    <row r="49" spans="1:8" ht="12.75">
      <c r="A49" s="27" t="s">
        <v>24</v>
      </c>
      <c r="B49" s="28" t="s">
        <v>10</v>
      </c>
      <c r="C49" s="35">
        <f t="shared" si="2"/>
        <v>1740856</v>
      </c>
      <c r="D49" s="35">
        <v>275139</v>
      </c>
      <c r="E49" s="35">
        <f>617738-D49</f>
        <v>342599</v>
      </c>
      <c r="F49" s="35">
        <f>967377-E49-D49</f>
        <v>349639</v>
      </c>
      <c r="G49" s="41">
        <f>1740856-D49-E49-F49</f>
        <v>773479</v>
      </c>
      <c r="H49" s="31"/>
    </row>
    <row r="50" spans="1:8" ht="13.5" thickBot="1">
      <c r="A50" s="10" t="s">
        <v>25</v>
      </c>
      <c r="B50" s="7" t="s">
        <v>11</v>
      </c>
      <c r="C50" s="42">
        <f t="shared" si="2"/>
        <v>100</v>
      </c>
      <c r="D50" s="42">
        <f>ROUND(D49/C49*100,1)</f>
        <v>15.8</v>
      </c>
      <c r="E50" s="42">
        <f>ROUND(E49/C49*100,1)</f>
        <v>19.7</v>
      </c>
      <c r="F50" s="42">
        <f>ROUND(F49/C49*100,1)</f>
        <v>20.1</v>
      </c>
      <c r="G50" s="43">
        <f>ROUND(G49/C49*100,1)</f>
        <v>44.4</v>
      </c>
      <c r="H50" s="31"/>
    </row>
    <row r="51" spans="3:7" ht="12.75">
      <c r="C51" s="44"/>
      <c r="D51" s="44"/>
      <c r="E51" s="44"/>
      <c r="F51" s="44"/>
      <c r="G51" s="44"/>
    </row>
    <row r="52" spans="3:8" ht="12.75">
      <c r="C52" s="44"/>
      <c r="D52" s="49"/>
      <c r="E52" s="44"/>
      <c r="F52" s="44"/>
      <c r="G52" s="44"/>
      <c r="H52" s="5"/>
    </row>
    <row r="53" spans="3:7" ht="12.75">
      <c r="C53" s="44"/>
      <c r="D53" s="44"/>
      <c r="E53" s="44"/>
      <c r="F53" s="44"/>
      <c r="G53" s="44"/>
    </row>
    <row r="54" spans="3:7" ht="12.75">
      <c r="C54" s="44"/>
      <c r="D54" s="44"/>
      <c r="E54" s="44"/>
      <c r="F54" s="44"/>
      <c r="G54" s="4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1999-01-20T12:44:26Z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