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5475" activeTab="5"/>
  </bookViews>
  <sheets>
    <sheet name="MF" sheetId="1" r:id="rId1"/>
    <sheet name="GFŘ" sheetId="2" r:id="rId2"/>
    <sheet name="GŘC" sheetId="3" r:id="rId3"/>
    <sheet name="ÚZSVM" sheetId="4" r:id="rId4"/>
    <sheet name="KFA" sheetId="5" r:id="rId5"/>
    <sheet name="KAPITOLA" sheetId="6" r:id="rId6"/>
    <sheet name="List2" sheetId="7" r:id="rId7"/>
  </sheets>
  <definedNames/>
  <calcPr fullCalcOnLoad="1"/>
</workbook>
</file>

<file path=xl/sharedStrings.xml><?xml version="1.0" encoding="utf-8"?>
<sst xmlns="http://schemas.openxmlformats.org/spreadsheetml/2006/main" count="747" uniqueCount="97">
  <si>
    <t>Ukazatel</t>
  </si>
  <si>
    <t>skutečnost</t>
  </si>
  <si>
    <t>%plnění</t>
  </si>
  <si>
    <t>skut.</t>
  </si>
  <si>
    <t>schválený</t>
  </si>
  <si>
    <t>v %</t>
  </si>
  <si>
    <t>sloupec</t>
  </si>
  <si>
    <t>Příjmy celkem</t>
  </si>
  <si>
    <t>v tom:</t>
  </si>
  <si>
    <t xml:space="preserve"> - pojistné na sociální  zabezpečení</t>
  </si>
  <si>
    <t xml:space="preserve">   z toho: pojistné na důchod. pojištění</t>
  </si>
  <si>
    <t xml:space="preserve"> - příjmy z vlastní činnosti </t>
  </si>
  <si>
    <t xml:space="preserve"> - příjmy z pronájmu majetku</t>
  </si>
  <si>
    <t xml:space="preserve"> - příjmy z úroků</t>
  </si>
  <si>
    <t xml:space="preserve"> - přijaté sankční platby a vratky transf.</t>
  </si>
  <si>
    <t xml:space="preserve"> - příjmy z prodeje neinv. majetku</t>
  </si>
  <si>
    <t xml:space="preserve"> - ostatní nedaňové příjmy</t>
  </si>
  <si>
    <t xml:space="preserve"> - příjmy z prodeje invest. majetku</t>
  </si>
  <si>
    <t xml:space="preserve"> - ostatní investiční příjmy</t>
  </si>
  <si>
    <t xml:space="preserve"> - převod z vlastních fondů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</si>
  <si>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</si>
  <si>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</si>
  <si>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</si>
  <si>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</si>
  <si>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</si>
  <si>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</si>
  <si>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</si>
  <si>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</si>
  <si>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</si>
  <si>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</si>
  <si>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</si>
  <si>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</si>
  <si>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</si>
  <si>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</si>
  <si>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</si>
  <si>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</si>
  <si>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</si>
  <si>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</si>
  <si>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</si>
  <si>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</si>
  <si>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</si>
  <si>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</si>
  <si>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</si>
  <si>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</si>
  <si>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</si>
  <si>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</si>
  <si>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průměrný měsíční plat v Kč</t>
  </si>
  <si>
    <t>ostatní běžné výdaje  na 1 zam. v Kč</t>
  </si>
  <si>
    <t xml:space="preserve">                 ostatní platby celkem</t>
  </si>
  <si>
    <t xml:space="preserve">   - sociální dávky</t>
  </si>
  <si>
    <t>Generální ředitelství cel</t>
  </si>
  <si>
    <t>Úřad pro zastupování státu ve věcech majetkových</t>
  </si>
  <si>
    <t xml:space="preserve"> </t>
  </si>
  <si>
    <t>Kapitola 312 - MF ČR   c e l k e m</t>
  </si>
  <si>
    <t xml:space="preserve"> - odvody přebytků org. s přímým vztahem</t>
  </si>
  <si>
    <t xml:space="preserve"> - splátky půjčených prostředků</t>
  </si>
  <si>
    <t xml:space="preserve">  - příjmy z akcií a majetkových podílů</t>
  </si>
  <si>
    <t xml:space="preserve"> - neinvestiční přijaté transfery ze zahraničí</t>
  </si>
  <si>
    <t xml:space="preserve"> - správní poplatky</t>
  </si>
  <si>
    <t xml:space="preserve"> - poplatek za využív. přírod. minerál. vody</t>
  </si>
  <si>
    <t>NNV</t>
  </si>
  <si>
    <t>MRZ</t>
  </si>
  <si>
    <t>Poznámka:</t>
  </si>
  <si>
    <t>upravený</t>
  </si>
  <si>
    <t>x</t>
  </si>
  <si>
    <t>celkový</t>
  </si>
  <si>
    <t>celkov. r.</t>
  </si>
  <si>
    <r>
      <t>MRZ</t>
    </r>
    <r>
      <rPr>
        <sz val="10"/>
        <rFont val="Times New Roman CE"/>
        <family val="0"/>
      </rPr>
      <t xml:space="preserve"> - mimorozpočtové zdroje převedené na příjmové účty</t>
    </r>
  </si>
  <si>
    <t xml:space="preserve"> - v oblasti příjmů = upravený rozpočet + MRZ převedené na příjmové účty a pojistné plnění z účtu s předčíslím 19, tj. sl. 3+5</t>
  </si>
  <si>
    <t xml:space="preserve"> - v oblasti výdajů = upravený rozpočet + MRZ převedené na příjmové účty a pojistné plnění z účtu s předčíslím 19 + NNV uvolněné </t>
  </si>
  <si>
    <t xml:space="preserve">                    program. vyb. do 60 tis. Kč</t>
  </si>
  <si>
    <t xml:space="preserve">   dle výkazu NNV vyhl. 449/2009 Sb.,v platném znění  tj. sl. 3+4+5</t>
  </si>
  <si>
    <t xml:space="preserve"> dle výkazu NNV vyhl. 449/2009 Sb.,v platném znění  tj. sl. 3+4+5</t>
  </si>
  <si>
    <r>
      <t>NNV</t>
    </r>
    <r>
      <rPr>
        <sz val="10"/>
        <rFont val="Times New Roman CE"/>
        <family val="0"/>
      </rPr>
      <t xml:space="preserve"> - uvolněné nároky z nespotřebovaných výdajů OSS (sl. 8 výkazu NNV dle vyhlášky 449/2009 Sb., v platném znění)</t>
    </r>
  </si>
  <si>
    <r>
      <t>celkový rozpočet</t>
    </r>
    <r>
      <rPr>
        <sz val="10"/>
        <rFont val="Times New Roman CE"/>
        <family val="0"/>
      </rPr>
      <t xml:space="preserve"> = konečný rozpočet včetně položky sociální dávky</t>
    </r>
  </si>
  <si>
    <t xml:space="preserve">Ministerstvo financí </t>
  </si>
  <si>
    <t>Generální finanční ředitelství</t>
  </si>
  <si>
    <t>Kancelář finančního arbitra</t>
  </si>
  <si>
    <t xml:space="preserve"> - neinv. převody z  Národního fondu</t>
  </si>
  <si>
    <t xml:space="preserve"> - investiční převody z Národního fondu</t>
  </si>
  <si>
    <t>uprav. r.</t>
  </si>
  <si>
    <t>MRZ+POJ</t>
  </si>
  <si>
    <t>2012/2011</t>
  </si>
  <si>
    <t>vázání</t>
  </si>
  <si>
    <t xml:space="preserve"> 8:3</t>
  </si>
  <si>
    <t xml:space="preserve"> 8:7</t>
  </si>
  <si>
    <t xml:space="preserve"> 8:1</t>
  </si>
  <si>
    <t>platy včetně září v tis. Kč</t>
  </si>
  <si>
    <t>k 31. 12.</t>
  </si>
  <si>
    <t>rozpočet k 31. 12.</t>
  </si>
  <si>
    <t>Plnění vybraných ukazatelů státního rozpočtu k  31. 12. 2012 dle finančních výkazů Fin RO 2- 04 U (v tis. Kč)</t>
  </si>
  <si>
    <t>Příloha č. 3 a)</t>
  </si>
  <si>
    <t>Příloha č. 3 b)</t>
  </si>
  <si>
    <t>Příloha č. 3 c)</t>
  </si>
  <si>
    <t>Příloha č. 3 d)</t>
  </si>
  <si>
    <t>Příloha č. 3 e)</t>
  </si>
  <si>
    <t>Příloha č.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</si>
</sst>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;[Red]\-#,##0;&quot;  &quot;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sz val="10"/>
      <color indexed="12"/>
      <name val="Times New Roman CE"/>
      <family val="1"/>
    </font>
    <font>
      <u val="single"/>
      <sz val="10"/>
      <name val="Times New Roman CE"/>
      <family val="1"/>
    </font>
    <font>
      <i/>
      <sz val="8"/>
      <name val="Times New Roman CE"/>
      <family val="0"/>
    </font>
    <font>
      <sz val="8"/>
      <name val="Arial CE"/>
      <family val="0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Times New Roman CE"/>
      <family val="0"/>
    </font>
    <font>
      <i/>
      <sz val="10"/>
      <name val="Times New Roman CE"/>
      <family val="0"/>
    </font>
    <font>
      <b/>
      <u val="single"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71" fontId="4" fillId="0" borderId="17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5" fillId="0" borderId="22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5" xfId="0" applyFont="1" applyFill="1" applyBorder="1" applyAlignment="1">
      <alignment/>
    </xf>
    <xf numFmtId="1" fontId="4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9" fontId="5" fillId="0" borderId="23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169" fontId="4" fillId="0" borderId="32" xfId="0" applyNumberFormat="1" applyFont="1" applyFill="1" applyBorder="1" applyAlignment="1">
      <alignment/>
    </xf>
    <xf numFmtId="169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169" fontId="5" fillId="0" borderId="24" xfId="0" applyNumberFormat="1" applyFont="1" applyFill="1" applyBorder="1" applyAlignment="1">
      <alignment/>
    </xf>
    <xf numFmtId="169" fontId="5" fillId="0" borderId="24" xfId="0" applyNumberFormat="1" applyFont="1" applyFill="1" applyBorder="1" applyAlignment="1">
      <alignment/>
    </xf>
    <xf numFmtId="169" fontId="5" fillId="0" borderId="38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169" fontId="5" fillId="0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>
      <alignment/>
    </xf>
    <xf numFmtId="169" fontId="5" fillId="0" borderId="31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169" fontId="5" fillId="0" borderId="40" xfId="0" applyNumberFormat="1" applyFont="1" applyFill="1" applyBorder="1" applyAlignment="1">
      <alignment/>
    </xf>
    <xf numFmtId="169" fontId="5" fillId="0" borderId="28" xfId="0" applyNumberFormat="1" applyFont="1" applyFill="1" applyBorder="1" applyAlignment="1">
      <alignment/>
    </xf>
    <xf numFmtId="169" fontId="4" fillId="0" borderId="20" xfId="0" applyNumberFormat="1" applyFont="1" applyFill="1" applyBorder="1" applyAlignment="1">
      <alignment/>
    </xf>
    <xf numFmtId="169" fontId="4" fillId="0" borderId="2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169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69" fontId="5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169" fontId="5" fillId="0" borderId="45" xfId="0" applyNumberFormat="1" applyFont="1" applyFill="1" applyBorder="1" applyAlignment="1">
      <alignment/>
    </xf>
    <xf numFmtId="169" fontId="4" fillId="0" borderId="46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169" fontId="5" fillId="0" borderId="47" xfId="0" applyNumberFormat="1" applyFont="1" applyFill="1" applyBorder="1" applyAlignment="1">
      <alignment/>
    </xf>
    <xf numFmtId="169" fontId="5" fillId="0" borderId="22" xfId="0" applyNumberFormat="1" applyFont="1" applyFill="1" applyBorder="1" applyAlignment="1">
      <alignment/>
    </xf>
    <xf numFmtId="169" fontId="5" fillId="0" borderId="48" xfId="0" applyNumberFormat="1" applyFont="1" applyFill="1" applyBorder="1" applyAlignment="1">
      <alignment/>
    </xf>
    <xf numFmtId="169" fontId="5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69" fontId="4" fillId="0" borderId="4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51" xfId="0" applyNumberFormat="1" applyFont="1" applyFill="1" applyBorder="1" applyAlignment="1">
      <alignment/>
    </xf>
    <xf numFmtId="169" fontId="5" fillId="0" borderId="50" xfId="0" applyNumberFormat="1" applyFont="1" applyFill="1" applyBorder="1" applyAlignment="1">
      <alignment/>
    </xf>
    <xf numFmtId="169" fontId="5" fillId="0" borderId="5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13" fillId="0" borderId="17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4" fillId="0" borderId="20" xfId="0" applyNumberFormat="1" applyFont="1" applyFill="1" applyBorder="1" applyAlignment="1" applyProtection="1">
      <alignment/>
      <protection locked="0"/>
    </xf>
    <xf numFmtId="169" fontId="4" fillId="0" borderId="33" xfId="0" applyNumberFormat="1" applyFont="1" applyFill="1" applyBorder="1" applyAlignment="1">
      <alignment/>
    </xf>
    <xf numFmtId="169" fontId="5" fillId="0" borderId="21" xfId="0" applyNumberFormat="1" applyFont="1" applyFill="1" applyBorder="1" applyAlignment="1">
      <alignment/>
    </xf>
    <xf numFmtId="169" fontId="11" fillId="0" borderId="21" xfId="0" applyNumberFormat="1" applyFont="1" applyFill="1" applyBorder="1" applyAlignment="1">
      <alignment/>
    </xf>
    <xf numFmtId="169" fontId="5" fillId="0" borderId="53" xfId="0" applyNumberFormat="1" applyFont="1" applyFill="1" applyBorder="1" applyAlignment="1">
      <alignment/>
    </xf>
    <xf numFmtId="169" fontId="11" fillId="0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69" fontId="13" fillId="0" borderId="17" xfId="0" applyNumberFormat="1" applyFont="1" applyFill="1" applyBorder="1" applyAlignment="1">
      <alignment/>
    </xf>
    <xf numFmtId="169" fontId="5" fillId="0" borderId="39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169" fontId="4" fillId="0" borderId="35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 applyProtection="1">
      <alignment horizontal="center"/>
      <protection locked="0"/>
    </xf>
    <xf numFmtId="169" fontId="4" fillId="0" borderId="20" xfId="0" applyNumberFormat="1" applyFont="1" applyFill="1" applyBorder="1" applyAlignment="1" applyProtection="1">
      <alignment/>
      <protection locked="0"/>
    </xf>
    <xf numFmtId="4" fontId="5" fillId="0" borderId="35" xfId="0" applyNumberFormat="1" applyFont="1" applyFill="1" applyBorder="1" applyAlignment="1">
      <alignment/>
    </xf>
    <xf numFmtId="169" fontId="5" fillId="0" borderId="54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169" fontId="5" fillId="0" borderId="55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169" fontId="5" fillId="0" borderId="56" xfId="0" applyNumberFormat="1" applyFont="1" applyFill="1" applyBorder="1" applyAlignment="1">
      <alignment/>
    </xf>
    <xf numFmtId="169" fontId="5" fillId="0" borderId="57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169" fontId="4" fillId="0" borderId="20" xfId="0" applyNumberFormat="1" applyFont="1" applyFill="1" applyBorder="1" applyAlignment="1" applyProtection="1">
      <alignment/>
      <protection/>
    </xf>
    <xf numFmtId="3" fontId="5" fillId="0" borderId="17" xfId="47" applyNumberFormat="1" applyFont="1" applyFill="1" applyBorder="1">
      <alignment/>
      <protection/>
    </xf>
    <xf numFmtId="3" fontId="5" fillId="0" borderId="34" xfId="47" applyNumberFormat="1" applyFont="1" applyFill="1" applyBorder="1">
      <alignment/>
      <protection/>
    </xf>
    <xf numFmtId="3" fontId="5" fillId="0" borderId="36" xfId="47" applyNumberFormat="1" applyFont="1" applyFill="1" applyBorder="1">
      <alignment/>
      <protection/>
    </xf>
    <xf numFmtId="3" fontId="5" fillId="0" borderId="39" xfId="47" applyNumberFormat="1" applyFont="1" applyFill="1" applyBorder="1">
      <alignment/>
      <protection/>
    </xf>
    <xf numFmtId="3" fontId="5" fillId="0" borderId="47" xfId="47" applyNumberFormat="1" applyFont="1" applyFill="1" applyBorder="1">
      <alignment/>
      <protection/>
    </xf>
    <xf numFmtId="3" fontId="4" fillId="0" borderId="47" xfId="47" applyNumberFormat="1" applyFont="1" applyFill="1" applyBorder="1">
      <alignment/>
      <protection/>
    </xf>
    <xf numFmtId="3" fontId="5" fillId="0" borderId="22" xfId="47" applyNumberFormat="1" applyFont="1" applyFill="1" applyBorder="1">
      <alignment/>
      <protection/>
    </xf>
    <xf numFmtId="169" fontId="5" fillId="0" borderId="58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5" fillId="0" borderId="60" xfId="0" applyFont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169" fontId="5" fillId="0" borderId="6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y_rozbor_GFŘ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ySplit="7" topLeftCell="BM8" activePane="bottomLeft" state="frozen"/>
      <selection pane="topLeft" activeCell="N33" sqref="N33"/>
      <selection pane="bottomLeft" activeCell="N33" sqref="N33"/>
    </sheetView>
  </sheetViews>
  <sheetFormatPr defaultColWidth="9.125" defaultRowHeight="12.75"/>
  <cols>
    <col min="1" max="1" width="33.00390625" style="1" customWidth="1"/>
    <col min="2" max="2" width="9.625" style="14" customWidth="1"/>
    <col min="3" max="3" width="9.125" style="1" customWidth="1"/>
    <col min="4" max="4" width="9.375" style="1" customWidth="1"/>
    <col min="5" max="5" width="10.00390625" style="1" customWidth="1"/>
    <col min="6" max="6" width="8.375" style="1" customWidth="1"/>
    <col min="7" max="8" width="10.00390625" style="1" customWidth="1"/>
    <col min="9" max="10" width="9.375" style="1" customWidth="1"/>
    <col min="11" max="11" width="8.125" style="1" customWidth="1"/>
    <col min="12" max="12" width="8.375" style="1" customWidth="1"/>
    <col min="13" max="16384" width="9.125" style="1" customWidth="1"/>
  </cols>
  <sheetData>
    <row r="1" spans="1:12" ht="18.75">
      <c r="A1" s="179" t="s">
        <v>75</v>
      </c>
      <c r="B1" s="13"/>
      <c r="K1" s="176" t="s">
        <v>91</v>
      </c>
      <c r="L1" s="177"/>
    </row>
    <row r="2" ht="12.75">
      <c r="A2" s="1" t="s">
        <v>90</v>
      </c>
    </row>
    <row r="3" spans="9:12" ht="13.5" thickBot="1">
      <c r="I3" s="2"/>
      <c r="J3" s="2"/>
      <c r="L3" s="12"/>
    </row>
    <row r="4" spans="1:12" ht="12.75">
      <c r="A4" s="3"/>
      <c r="B4" s="161">
        <v>2011</v>
      </c>
      <c r="C4" s="52"/>
      <c r="D4" s="52">
        <v>2012</v>
      </c>
      <c r="E4" s="52"/>
      <c r="F4" s="52"/>
      <c r="G4" s="52"/>
      <c r="H4" s="52"/>
      <c r="I4" s="52"/>
      <c r="J4" s="52"/>
      <c r="K4" s="53"/>
      <c r="L4" s="54" t="s">
        <v>82</v>
      </c>
    </row>
    <row r="5" spans="1:12" ht="12.75">
      <c r="A5" s="4" t="s">
        <v>0</v>
      </c>
      <c r="B5" s="32" t="s">
        <v>1</v>
      </c>
      <c r="C5" s="55" t="s">
        <v>89</v>
      </c>
      <c r="D5" s="56"/>
      <c r="E5" s="57"/>
      <c r="F5" s="57"/>
      <c r="G5" s="57"/>
      <c r="H5" s="57"/>
      <c r="I5" s="58" t="s">
        <v>1</v>
      </c>
      <c r="J5" s="58" t="s">
        <v>2</v>
      </c>
      <c r="K5" s="58" t="s">
        <v>2</v>
      </c>
      <c r="L5" s="54" t="s">
        <v>3</v>
      </c>
    </row>
    <row r="6" spans="1:12" ht="13.5" thickBot="1">
      <c r="A6" s="5"/>
      <c r="B6" s="59" t="s">
        <v>88</v>
      </c>
      <c r="C6" s="60" t="s">
        <v>4</v>
      </c>
      <c r="D6" s="60" t="s">
        <v>63</v>
      </c>
      <c r="E6" s="61" t="s">
        <v>60</v>
      </c>
      <c r="F6" s="61" t="s">
        <v>61</v>
      </c>
      <c r="G6" s="61" t="s">
        <v>83</v>
      </c>
      <c r="H6" s="61" t="s">
        <v>65</v>
      </c>
      <c r="I6" s="59" t="s">
        <v>88</v>
      </c>
      <c r="J6" s="60" t="s">
        <v>80</v>
      </c>
      <c r="K6" s="60" t="s">
        <v>66</v>
      </c>
      <c r="L6" s="164" t="s">
        <v>5</v>
      </c>
    </row>
    <row r="7" spans="1:12" ht="13.5" thickBot="1">
      <c r="A7" s="5" t="s">
        <v>6</v>
      </c>
      <c r="B7" s="3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3" t="s">
        <v>84</v>
      </c>
      <c r="K7" s="33" t="s">
        <v>85</v>
      </c>
      <c r="L7" s="63" t="s">
        <v>86</v>
      </c>
    </row>
    <row r="8" spans="1:12" ht="12.75">
      <c r="A8" s="6" t="s">
        <v>7</v>
      </c>
      <c r="B8" s="27">
        <f>SUM(B10:B28)</f>
        <v>924189</v>
      </c>
      <c r="C8" s="27">
        <f>SUM(C10:C28)</f>
        <v>713021</v>
      </c>
      <c r="D8" s="27">
        <f>SUM(D10:D28)</f>
        <v>738148</v>
      </c>
      <c r="E8" s="118" t="s">
        <v>64</v>
      </c>
      <c r="F8" s="27">
        <f>SUM(F10:F28)</f>
        <v>13633.9</v>
      </c>
      <c r="G8" s="118" t="s">
        <v>64</v>
      </c>
      <c r="H8" s="27">
        <f>D8+F8</f>
        <v>751781.9</v>
      </c>
      <c r="I8" s="27">
        <f>I10+I11+I13+I14+I15+I16+I17+I18+I19+I20+I21+I22+I23+I25+I26+I27+I28</f>
        <v>843392</v>
      </c>
      <c r="J8" s="87">
        <f aca="true" t="shared" si="0" ref="J8:J30">I8/D8*100</f>
        <v>114.2578453101546</v>
      </c>
      <c r="K8" s="87">
        <f>I8/H8*100</f>
        <v>112.1857283342416</v>
      </c>
      <c r="L8" s="123">
        <f>I8/B8*100</f>
        <v>91.25752416442957</v>
      </c>
    </row>
    <row r="9" spans="1:14" ht="12.75">
      <c r="A9" s="7" t="s">
        <v>8</v>
      </c>
      <c r="B9" s="19"/>
      <c r="C9" s="19"/>
      <c r="D9" s="19"/>
      <c r="E9" s="73"/>
      <c r="F9" s="19"/>
      <c r="G9" s="73"/>
      <c r="H9" s="19"/>
      <c r="I9" s="47"/>
      <c r="J9" s="129"/>
      <c r="K9" s="43"/>
      <c r="L9" s="72"/>
      <c r="N9" s="14"/>
    </row>
    <row r="10" spans="1:12" ht="12.75">
      <c r="A10" s="21" t="s">
        <v>58</v>
      </c>
      <c r="B10" s="19">
        <v>164895</v>
      </c>
      <c r="C10" s="19">
        <v>147000</v>
      </c>
      <c r="D10" s="19">
        <v>147000</v>
      </c>
      <c r="E10" s="73" t="s">
        <v>64</v>
      </c>
      <c r="F10" s="19"/>
      <c r="G10" s="73" t="s">
        <v>64</v>
      </c>
      <c r="H10" s="19">
        <f aca="true" t="shared" si="1" ref="H10:H28">D10+F10</f>
        <v>147000</v>
      </c>
      <c r="I10" s="19">
        <f>10556+1</f>
        <v>10557</v>
      </c>
      <c r="J10" s="43">
        <f t="shared" si="0"/>
        <v>7.181632653061225</v>
      </c>
      <c r="K10" s="43">
        <f aca="true" t="shared" si="2" ref="K10:K28">I10/H10*100</f>
        <v>7.181632653061225</v>
      </c>
      <c r="L10" s="72">
        <f>I10/B10*100</f>
        <v>6.402255981078868</v>
      </c>
    </row>
    <row r="11" spans="1:12" ht="12.75">
      <c r="A11" s="21" t="s">
        <v>9</v>
      </c>
      <c r="B11" s="19"/>
      <c r="C11" s="19"/>
      <c r="D11" s="19"/>
      <c r="E11" s="73" t="s">
        <v>64</v>
      </c>
      <c r="F11" s="19"/>
      <c r="G11" s="73" t="s">
        <v>64</v>
      </c>
      <c r="H11" s="19">
        <f t="shared" si="1"/>
        <v>0</v>
      </c>
      <c r="I11" s="19"/>
      <c r="J11" s="43"/>
      <c r="K11" s="43"/>
      <c r="L11" s="72"/>
    </row>
    <row r="12" spans="1:12" ht="12.75">
      <c r="A12" s="21" t="s">
        <v>10</v>
      </c>
      <c r="B12" s="19"/>
      <c r="C12" s="19"/>
      <c r="D12" s="19"/>
      <c r="E12" s="73" t="s">
        <v>64</v>
      </c>
      <c r="F12" s="19"/>
      <c r="G12" s="73" t="s">
        <v>64</v>
      </c>
      <c r="H12" s="19">
        <f t="shared" si="1"/>
        <v>0</v>
      </c>
      <c r="I12" s="19"/>
      <c r="J12" s="43"/>
      <c r="K12" s="43"/>
      <c r="L12" s="72"/>
    </row>
    <row r="13" spans="1:14" ht="12.75">
      <c r="A13" s="7" t="s">
        <v>11</v>
      </c>
      <c r="B13" s="19">
        <v>5282</v>
      </c>
      <c r="C13" s="19">
        <v>4503</v>
      </c>
      <c r="D13" s="19">
        <v>4503</v>
      </c>
      <c r="E13" s="73" t="s">
        <v>64</v>
      </c>
      <c r="F13" s="19"/>
      <c r="G13" s="73" t="s">
        <v>64</v>
      </c>
      <c r="H13" s="19">
        <f t="shared" si="1"/>
        <v>4503</v>
      </c>
      <c r="I13" s="19">
        <f>3095+1-1</f>
        <v>3095</v>
      </c>
      <c r="J13" s="43">
        <f t="shared" si="0"/>
        <v>68.73195647346215</v>
      </c>
      <c r="K13" s="43">
        <f t="shared" si="2"/>
        <v>68.73195647346215</v>
      </c>
      <c r="L13" s="72">
        <f>I13/B13*100</f>
        <v>58.59522907989398</v>
      </c>
      <c r="N13" s="14"/>
    </row>
    <row r="14" spans="1:12" ht="12.75">
      <c r="A14" s="17" t="s">
        <v>54</v>
      </c>
      <c r="B14" s="19">
        <v>99</v>
      </c>
      <c r="C14" s="19">
        <v>0</v>
      </c>
      <c r="D14" s="19">
        <v>0</v>
      </c>
      <c r="E14" s="73" t="s">
        <v>64</v>
      </c>
      <c r="F14" s="19"/>
      <c r="G14" s="73" t="s">
        <v>64</v>
      </c>
      <c r="H14" s="19">
        <f t="shared" si="1"/>
        <v>0</v>
      </c>
      <c r="I14" s="19">
        <f>40936+1</f>
        <v>40937</v>
      </c>
      <c r="J14" s="43"/>
      <c r="K14" s="43"/>
      <c r="L14" s="72"/>
    </row>
    <row r="15" spans="1:12" ht="12.75">
      <c r="A15" s="7" t="s">
        <v>12</v>
      </c>
      <c r="B15" s="19">
        <v>11570</v>
      </c>
      <c r="C15" s="19">
        <v>1727</v>
      </c>
      <c r="D15" s="19">
        <v>9994</v>
      </c>
      <c r="E15" s="73" t="s">
        <v>64</v>
      </c>
      <c r="F15" s="19"/>
      <c r="G15" s="73" t="s">
        <v>64</v>
      </c>
      <c r="H15" s="19">
        <f t="shared" si="1"/>
        <v>9994</v>
      </c>
      <c r="I15" s="19">
        <v>10531</v>
      </c>
      <c r="J15" s="43">
        <f t="shared" si="0"/>
        <v>105.37322393436061</v>
      </c>
      <c r="K15" s="43">
        <f t="shared" si="2"/>
        <v>105.37322393436061</v>
      </c>
      <c r="L15" s="72">
        <f aca="true" t="shared" si="3" ref="L15:L27">I15/B15*100</f>
        <v>91.01987899740709</v>
      </c>
    </row>
    <row r="16" spans="1:12" ht="12.75">
      <c r="A16" s="7" t="s">
        <v>13</v>
      </c>
      <c r="B16" s="19">
        <v>54291</v>
      </c>
      <c r="C16" s="19">
        <v>41043</v>
      </c>
      <c r="D16" s="19">
        <v>41043</v>
      </c>
      <c r="E16" s="73" t="s">
        <v>64</v>
      </c>
      <c r="F16" s="19"/>
      <c r="G16" s="73" t="s">
        <v>64</v>
      </c>
      <c r="H16" s="19">
        <f t="shared" si="1"/>
        <v>41043</v>
      </c>
      <c r="I16" s="19">
        <v>61986</v>
      </c>
      <c r="J16" s="43">
        <f t="shared" si="0"/>
        <v>151.0269717125941</v>
      </c>
      <c r="K16" s="43">
        <f t="shared" si="2"/>
        <v>151.0269717125941</v>
      </c>
      <c r="L16" s="72">
        <f t="shared" si="3"/>
        <v>114.17361993700614</v>
      </c>
    </row>
    <row r="17" spans="1:12" ht="12.75">
      <c r="A17" s="7" t="s">
        <v>14</v>
      </c>
      <c r="B17" s="19">
        <v>7032</v>
      </c>
      <c r="C17" s="19">
        <v>2500</v>
      </c>
      <c r="D17" s="19">
        <v>2500</v>
      </c>
      <c r="E17" s="73" t="s">
        <v>64</v>
      </c>
      <c r="F17" s="19"/>
      <c r="G17" s="73" t="s">
        <v>64</v>
      </c>
      <c r="H17" s="19">
        <f t="shared" si="1"/>
        <v>2500</v>
      </c>
      <c r="I17" s="19">
        <f>7077</f>
        <v>7077</v>
      </c>
      <c r="J17" s="43"/>
      <c r="K17" s="43"/>
      <c r="L17" s="72">
        <f t="shared" si="3"/>
        <v>100.63993174061434</v>
      </c>
    </row>
    <row r="18" spans="1:12" ht="12.75">
      <c r="A18" s="7" t="s">
        <v>15</v>
      </c>
      <c r="B18" s="19"/>
      <c r="C18" s="19">
        <v>8267</v>
      </c>
      <c r="D18" s="19">
        <v>0</v>
      </c>
      <c r="E18" s="73" t="s">
        <v>64</v>
      </c>
      <c r="F18" s="19"/>
      <c r="G18" s="73" t="s">
        <v>64</v>
      </c>
      <c r="H18" s="19">
        <f t="shared" si="1"/>
        <v>0</v>
      </c>
      <c r="I18" s="19">
        <v>0</v>
      </c>
      <c r="J18" s="43"/>
      <c r="K18" s="43"/>
      <c r="L18" s="72"/>
    </row>
    <row r="19" spans="1:12" ht="12.75">
      <c r="A19" s="7" t="s">
        <v>16</v>
      </c>
      <c r="B19" s="19">
        <f>6802-4217-1</f>
        <v>2584</v>
      </c>
      <c r="C19" s="19">
        <v>715</v>
      </c>
      <c r="D19" s="19">
        <v>715</v>
      </c>
      <c r="E19" s="73" t="s">
        <v>64</v>
      </c>
      <c r="F19" s="19"/>
      <c r="G19" s="73" t="s">
        <v>64</v>
      </c>
      <c r="H19" s="19">
        <f t="shared" si="1"/>
        <v>715</v>
      </c>
      <c r="I19" s="19">
        <f>7923+1</f>
        <v>7924</v>
      </c>
      <c r="J19" s="43">
        <f t="shared" si="0"/>
        <v>1108.2517482517483</v>
      </c>
      <c r="K19" s="43">
        <f t="shared" si="2"/>
        <v>1108.2517482517483</v>
      </c>
      <c r="L19" s="72">
        <f t="shared" si="3"/>
        <v>306.656346749226</v>
      </c>
    </row>
    <row r="20" spans="1:12" ht="12.75">
      <c r="A20" s="7" t="s">
        <v>59</v>
      </c>
      <c r="B20" s="19"/>
      <c r="C20" s="19"/>
      <c r="D20" s="19"/>
      <c r="E20" s="73" t="s">
        <v>64</v>
      </c>
      <c r="F20" s="19"/>
      <c r="G20" s="73" t="s">
        <v>64</v>
      </c>
      <c r="H20" s="19">
        <f t="shared" si="1"/>
        <v>0</v>
      </c>
      <c r="I20" s="19"/>
      <c r="J20" s="43"/>
      <c r="K20" s="43"/>
      <c r="L20" s="72"/>
    </row>
    <row r="21" spans="1:12" ht="12.75">
      <c r="A21" s="18" t="s">
        <v>55</v>
      </c>
      <c r="B21" s="19">
        <v>513441</v>
      </c>
      <c r="C21" s="19">
        <v>348320</v>
      </c>
      <c r="D21" s="19">
        <v>348320</v>
      </c>
      <c r="E21" s="73" t="s">
        <v>64</v>
      </c>
      <c r="F21" s="19"/>
      <c r="G21" s="73" t="s">
        <v>64</v>
      </c>
      <c r="H21" s="19">
        <f t="shared" si="1"/>
        <v>348320</v>
      </c>
      <c r="I21" s="19">
        <f>499253+1-1</f>
        <v>499253</v>
      </c>
      <c r="J21" s="43">
        <f t="shared" si="0"/>
        <v>143.33170647680294</v>
      </c>
      <c r="K21" s="43">
        <f t="shared" si="2"/>
        <v>143.33170647680294</v>
      </c>
      <c r="L21" s="72">
        <f t="shared" si="3"/>
        <v>97.23668347482963</v>
      </c>
    </row>
    <row r="22" spans="1:12" ht="12.75">
      <c r="A22" s="7" t="s">
        <v>17</v>
      </c>
      <c r="B22" s="19">
        <v>0</v>
      </c>
      <c r="C22" s="19">
        <v>1500</v>
      </c>
      <c r="D22" s="19">
        <v>1500</v>
      </c>
      <c r="E22" s="73" t="s">
        <v>64</v>
      </c>
      <c r="F22" s="19"/>
      <c r="G22" s="73" t="s">
        <v>64</v>
      </c>
      <c r="H22" s="19">
        <f t="shared" si="1"/>
        <v>1500</v>
      </c>
      <c r="I22" s="19">
        <f>37+1</f>
        <v>38</v>
      </c>
      <c r="J22" s="43">
        <f t="shared" si="0"/>
        <v>2.533333333333333</v>
      </c>
      <c r="K22" s="43">
        <f t="shared" si="2"/>
        <v>2.533333333333333</v>
      </c>
      <c r="L22" s="72" t="e">
        <f t="shared" si="3"/>
        <v>#DIV/0!</v>
      </c>
    </row>
    <row r="23" spans="1:12" ht="12.75">
      <c r="A23" s="18" t="s">
        <v>56</v>
      </c>
      <c r="B23" s="19"/>
      <c r="C23" s="19"/>
      <c r="D23" s="19"/>
      <c r="E23" s="73" t="s">
        <v>64</v>
      </c>
      <c r="F23" s="19"/>
      <c r="G23" s="73" t="s">
        <v>64</v>
      </c>
      <c r="H23" s="19">
        <f t="shared" si="1"/>
        <v>0</v>
      </c>
      <c r="I23" s="19"/>
      <c r="J23" s="43"/>
      <c r="K23" s="43"/>
      <c r="L23" s="72"/>
    </row>
    <row r="24" spans="1:12" ht="12.75" customHeight="1">
      <c r="A24" s="7" t="s">
        <v>18</v>
      </c>
      <c r="B24" s="19"/>
      <c r="C24" s="19"/>
      <c r="D24" s="19"/>
      <c r="E24" s="73" t="s">
        <v>64</v>
      </c>
      <c r="F24" s="19"/>
      <c r="G24" s="73" t="s">
        <v>64</v>
      </c>
      <c r="H24" s="19">
        <f t="shared" si="1"/>
        <v>0</v>
      </c>
      <c r="I24" s="19"/>
      <c r="J24" s="43"/>
      <c r="K24" s="43"/>
      <c r="L24" s="72"/>
    </row>
    <row r="25" spans="1:12" ht="12.75" customHeight="1">
      <c r="A25" s="7" t="s">
        <v>78</v>
      </c>
      <c r="B25" s="19">
        <v>43157</v>
      </c>
      <c r="C25" s="34">
        <v>144276</v>
      </c>
      <c r="D25" s="19">
        <v>169403</v>
      </c>
      <c r="E25" s="73" t="s">
        <v>64</v>
      </c>
      <c r="F25" s="19"/>
      <c r="G25" s="73" t="s">
        <v>64</v>
      </c>
      <c r="H25" s="19">
        <f t="shared" si="1"/>
        <v>169403</v>
      </c>
      <c r="I25" s="19">
        <v>120661</v>
      </c>
      <c r="J25" s="43">
        <f t="shared" si="0"/>
        <v>71.22719196236194</v>
      </c>
      <c r="K25" s="43">
        <f t="shared" si="2"/>
        <v>71.22719196236194</v>
      </c>
      <c r="L25" s="72">
        <f t="shared" si="3"/>
        <v>279.5861621521422</v>
      </c>
    </row>
    <row r="26" spans="1:12" ht="12.75" customHeight="1">
      <c r="A26" s="7" t="s">
        <v>57</v>
      </c>
      <c r="B26" s="19">
        <v>20674</v>
      </c>
      <c r="C26" s="34"/>
      <c r="D26" s="19"/>
      <c r="E26" s="73" t="s">
        <v>64</v>
      </c>
      <c r="F26" s="19">
        <v>616.9</v>
      </c>
      <c r="G26" s="73" t="s">
        <v>64</v>
      </c>
      <c r="H26" s="19">
        <f t="shared" si="1"/>
        <v>616.9</v>
      </c>
      <c r="I26" s="19">
        <f>616+1</f>
        <v>617</v>
      </c>
      <c r="J26" s="43" t="e">
        <f t="shared" si="0"/>
        <v>#DIV/0!</v>
      </c>
      <c r="K26" s="43">
        <f t="shared" si="2"/>
        <v>100.01621008267144</v>
      </c>
      <c r="L26" s="72">
        <f t="shared" si="3"/>
        <v>2.9844248814936636</v>
      </c>
    </row>
    <row r="27" spans="1:12" ht="12.75" customHeight="1">
      <c r="A27" s="21" t="s">
        <v>79</v>
      </c>
      <c r="B27" s="34">
        <v>98263</v>
      </c>
      <c r="C27" s="34">
        <v>13170</v>
      </c>
      <c r="D27" s="34">
        <v>13170</v>
      </c>
      <c r="E27" s="73" t="s">
        <v>64</v>
      </c>
      <c r="F27" s="34"/>
      <c r="G27" s="73" t="s">
        <v>64</v>
      </c>
      <c r="H27" s="34">
        <f t="shared" si="1"/>
        <v>13170</v>
      </c>
      <c r="I27" s="34">
        <f>67304+1</f>
        <v>67305</v>
      </c>
      <c r="J27" s="77">
        <f t="shared" si="0"/>
        <v>511.04783599088836</v>
      </c>
      <c r="K27" s="77">
        <f t="shared" si="2"/>
        <v>511.04783599088836</v>
      </c>
      <c r="L27" s="79">
        <f t="shared" si="3"/>
        <v>68.49475387480537</v>
      </c>
    </row>
    <row r="28" spans="1:12" ht="13.5" thickBot="1">
      <c r="A28" s="5" t="s">
        <v>19</v>
      </c>
      <c r="B28" s="31">
        <v>2901</v>
      </c>
      <c r="C28" s="31"/>
      <c r="D28" s="31"/>
      <c r="E28" s="33" t="s">
        <v>64</v>
      </c>
      <c r="F28" s="31">
        <v>13017</v>
      </c>
      <c r="G28" s="33" t="s">
        <v>64</v>
      </c>
      <c r="H28" s="31">
        <f t="shared" si="1"/>
        <v>13017</v>
      </c>
      <c r="I28" s="31">
        <f>13410+1</f>
        <v>13411</v>
      </c>
      <c r="J28" s="81"/>
      <c r="K28" s="130">
        <f t="shared" si="2"/>
        <v>103.02681109318583</v>
      </c>
      <c r="L28" s="83">
        <v>0</v>
      </c>
    </row>
    <row r="29" spans="1:12" ht="12.75">
      <c r="A29" s="4"/>
      <c r="B29" s="28"/>
      <c r="C29" s="28"/>
      <c r="D29" s="28"/>
      <c r="E29" s="28"/>
      <c r="F29" s="28"/>
      <c r="G29" s="28"/>
      <c r="H29" s="28"/>
      <c r="I29" s="28"/>
      <c r="J29" s="124"/>
      <c r="K29" s="124"/>
      <c r="L29" s="86"/>
    </row>
    <row r="30" spans="1:20" ht="12.75">
      <c r="A30" s="6" t="s">
        <v>20</v>
      </c>
      <c r="B30" s="27">
        <f aca="true" t="shared" si="4" ref="B30:G30">B32+B38</f>
        <v>2956951</v>
      </c>
      <c r="C30" s="27">
        <f t="shared" si="4"/>
        <v>2069345</v>
      </c>
      <c r="D30" s="27">
        <f t="shared" si="4"/>
        <v>5011254</v>
      </c>
      <c r="E30" s="27">
        <f t="shared" si="4"/>
        <v>1117384.89522</v>
      </c>
      <c r="F30" s="27">
        <f t="shared" si="4"/>
        <v>625.4560000000001</v>
      </c>
      <c r="G30" s="27">
        <f t="shared" si="4"/>
        <v>-75300</v>
      </c>
      <c r="H30" s="27">
        <f>D30+E30+F30+G30</f>
        <v>6053964.351220001</v>
      </c>
      <c r="I30" s="27">
        <f>I32+I38</f>
        <v>4701315</v>
      </c>
      <c r="J30" s="87">
        <f t="shared" si="0"/>
        <v>93.81514088090526</v>
      </c>
      <c r="K30" s="87">
        <f>I30/H30*100</f>
        <v>77.6568001932913</v>
      </c>
      <c r="L30" s="123">
        <f>I30/B30*100</f>
        <v>158.99198194356282</v>
      </c>
      <c r="N30" s="37"/>
      <c r="O30" s="37"/>
      <c r="P30" s="37"/>
      <c r="Q30" s="37"/>
      <c r="R30" s="37"/>
      <c r="S30" s="37"/>
      <c r="T30" s="37"/>
    </row>
    <row r="31" spans="1:20" ht="12.75">
      <c r="A31" s="7" t="s">
        <v>21</v>
      </c>
      <c r="B31" s="19"/>
      <c r="C31" s="19"/>
      <c r="D31" s="19"/>
      <c r="E31" s="19"/>
      <c r="F31" s="19"/>
      <c r="G31" s="19"/>
      <c r="H31" s="19"/>
      <c r="I31" s="19"/>
      <c r="J31" s="43"/>
      <c r="K31" s="43"/>
      <c r="L31" s="72"/>
      <c r="N31" s="37"/>
      <c r="O31" s="37"/>
      <c r="P31" s="37"/>
      <c r="Q31" s="37"/>
      <c r="R31" s="37"/>
      <c r="S31" s="37"/>
      <c r="T31" s="37"/>
    </row>
    <row r="32" spans="1:20" ht="12.75">
      <c r="A32" s="6" t="s">
        <v>22</v>
      </c>
      <c r="B32" s="27">
        <f aca="true" t="shared" si="5" ref="B32:G32">B34+B35+B36</f>
        <v>691621</v>
      </c>
      <c r="C32" s="122">
        <f t="shared" si="5"/>
        <v>385655</v>
      </c>
      <c r="D32" s="122">
        <f>D34+D35+D36</f>
        <v>894931</v>
      </c>
      <c r="E32" s="122">
        <f t="shared" si="5"/>
        <v>259863.898</v>
      </c>
      <c r="F32" s="122">
        <f t="shared" si="5"/>
        <v>0</v>
      </c>
      <c r="G32" s="122">
        <f t="shared" si="5"/>
        <v>-26500</v>
      </c>
      <c r="H32" s="122">
        <f aca="true" t="shared" si="6" ref="H32:H56">D32+E32+F32+G32</f>
        <v>1128294.898</v>
      </c>
      <c r="I32" s="122">
        <f>I34+I35+I36</f>
        <v>669012</v>
      </c>
      <c r="J32" s="87">
        <f>I32/D32*100</f>
        <v>74.75570742325385</v>
      </c>
      <c r="K32" s="87">
        <f>I32/H32*100</f>
        <v>59.29407295786602</v>
      </c>
      <c r="L32" s="123">
        <f>I32/B32*100</f>
        <v>96.73101308375541</v>
      </c>
      <c r="N32" s="37"/>
      <c r="O32" s="37"/>
      <c r="P32" s="37"/>
      <c r="Q32" s="37"/>
      <c r="R32" s="37"/>
      <c r="S32" s="37"/>
      <c r="T32" s="37"/>
    </row>
    <row r="33" spans="1:20" ht="12.75">
      <c r="A33" s="7" t="s">
        <v>23</v>
      </c>
      <c r="B33" s="19"/>
      <c r="C33" s="19"/>
      <c r="D33" s="19"/>
      <c r="E33" s="19"/>
      <c r="F33" s="19"/>
      <c r="G33" s="19"/>
      <c r="H33" s="19"/>
      <c r="I33" s="19"/>
      <c r="J33" s="43"/>
      <c r="K33" s="43"/>
      <c r="L33" s="72"/>
      <c r="N33" s="37"/>
      <c r="O33" s="37"/>
      <c r="P33" s="37"/>
      <c r="Q33" s="37"/>
      <c r="R33" s="37"/>
      <c r="S33" s="37"/>
      <c r="T33" s="37"/>
    </row>
    <row r="34" spans="1:20" ht="12.75">
      <c r="A34" s="7" t="s">
        <v>24</v>
      </c>
      <c r="B34" s="19">
        <v>634274</v>
      </c>
      <c r="C34" s="19">
        <f>366162</f>
        <v>366162</v>
      </c>
      <c r="D34" s="19">
        <v>547408</v>
      </c>
      <c r="E34" s="19">
        <f>201625.272</f>
        <v>201625.272</v>
      </c>
      <c r="F34" s="19"/>
      <c r="G34" s="19">
        <v>-26500</v>
      </c>
      <c r="H34" s="19">
        <f t="shared" si="6"/>
        <v>722533.272</v>
      </c>
      <c r="I34" s="19">
        <f>311356+1-1</f>
        <v>311356</v>
      </c>
      <c r="J34" s="43">
        <f aca="true" t="shared" si="7" ref="J34:J60">I34/D34*100</f>
        <v>56.87823342004501</v>
      </c>
      <c r="K34" s="43">
        <f>I34/H34*100</f>
        <v>43.09227160406808</v>
      </c>
      <c r="L34" s="72">
        <f>I34/B34*100</f>
        <v>49.088564248258635</v>
      </c>
      <c r="N34" s="37"/>
      <c r="O34" s="37"/>
      <c r="P34" s="37"/>
      <c r="Q34" s="37"/>
      <c r="R34" s="37"/>
      <c r="S34" s="37"/>
      <c r="T34" s="37"/>
    </row>
    <row r="35" spans="1:20" ht="12.75">
      <c r="A35" s="7" t="s">
        <v>25</v>
      </c>
      <c r="B35" s="19">
        <v>57347</v>
      </c>
      <c r="C35" s="19">
        <v>19493</v>
      </c>
      <c r="D35" s="19">
        <f>347478+45</f>
        <v>347523</v>
      </c>
      <c r="E35" s="19">
        <f>58238.626</f>
        <v>58238.626</v>
      </c>
      <c r="F35" s="19"/>
      <c r="G35" s="19"/>
      <c r="H35" s="19">
        <f t="shared" si="6"/>
        <v>405761.626</v>
      </c>
      <c r="I35" s="19">
        <f>357655+1</f>
        <v>357656</v>
      </c>
      <c r="J35" s="43">
        <f t="shared" si="7"/>
        <v>102.9157782362606</v>
      </c>
      <c r="K35" s="43">
        <f>I35/H35*100</f>
        <v>88.14436286786766</v>
      </c>
      <c r="L35" s="72">
        <f>I35/B35*100</f>
        <v>623.6699391424137</v>
      </c>
      <c r="N35" s="37"/>
      <c r="O35" s="37"/>
      <c r="P35" s="37"/>
      <c r="Q35" s="37"/>
      <c r="R35" s="37"/>
      <c r="S35" s="37"/>
      <c r="T35" s="37"/>
    </row>
    <row r="36" spans="1:20" ht="12.75">
      <c r="A36" s="8" t="s">
        <v>26</v>
      </c>
      <c r="B36" s="94"/>
      <c r="C36" s="94"/>
      <c r="D36" s="94"/>
      <c r="E36" s="94"/>
      <c r="F36" s="94"/>
      <c r="G36" s="94"/>
      <c r="H36" s="94">
        <f t="shared" si="6"/>
        <v>0</v>
      </c>
      <c r="I36" s="94"/>
      <c r="J36" s="95"/>
      <c r="K36" s="95"/>
      <c r="L36" s="68"/>
      <c r="N36" s="37"/>
      <c r="O36" s="37"/>
      <c r="P36" s="37"/>
      <c r="Q36" s="37"/>
      <c r="R36" s="37"/>
      <c r="S36" s="37"/>
      <c r="T36" s="37"/>
    </row>
    <row r="37" spans="1:20" ht="12.75">
      <c r="A37" s="4"/>
      <c r="B37" s="28"/>
      <c r="C37" s="28"/>
      <c r="D37" s="28"/>
      <c r="E37" s="28"/>
      <c r="F37" s="28"/>
      <c r="G37" s="28"/>
      <c r="H37" s="28"/>
      <c r="I37" s="28"/>
      <c r="J37" s="124"/>
      <c r="K37" s="124"/>
      <c r="L37" s="86"/>
      <c r="N37" s="37"/>
      <c r="O37" s="37"/>
      <c r="P37" s="37"/>
      <c r="Q37" s="37"/>
      <c r="R37" s="37"/>
      <c r="S37" s="37"/>
      <c r="T37" s="37"/>
    </row>
    <row r="38" spans="1:20" ht="12.75">
      <c r="A38" s="6" t="s">
        <v>27</v>
      </c>
      <c r="B38" s="27">
        <f aca="true" t="shared" si="8" ref="B38:G38">B40+B43+B44+B45+B46</f>
        <v>2265330</v>
      </c>
      <c r="C38" s="27">
        <f t="shared" si="8"/>
        <v>1683690</v>
      </c>
      <c r="D38" s="27">
        <f t="shared" si="8"/>
        <v>4116323</v>
      </c>
      <c r="E38" s="27">
        <f t="shared" si="8"/>
        <v>857520.9972200001</v>
      </c>
      <c r="F38" s="27">
        <f t="shared" si="8"/>
        <v>625.4560000000001</v>
      </c>
      <c r="G38" s="27">
        <f t="shared" si="8"/>
        <v>-48800</v>
      </c>
      <c r="H38" s="131">
        <f t="shared" si="6"/>
        <v>4925669.4532200005</v>
      </c>
      <c r="I38" s="27">
        <f>I40+I43+I44+I45+I46</f>
        <v>4032303</v>
      </c>
      <c r="J38" s="87">
        <f t="shared" si="7"/>
        <v>97.95885794190592</v>
      </c>
      <c r="K38" s="87">
        <f>I38/H38*100</f>
        <v>81.86304497887103</v>
      </c>
      <c r="L38" s="123">
        <f>I38/B38*100</f>
        <v>178.00068864139</v>
      </c>
      <c r="N38" s="38"/>
      <c r="O38" s="37"/>
      <c r="P38" s="37"/>
      <c r="Q38" s="37"/>
      <c r="R38" s="37"/>
      <c r="S38" s="37"/>
      <c r="T38" s="37"/>
    </row>
    <row r="39" spans="1:20" ht="12.75">
      <c r="A39" s="7" t="s">
        <v>23</v>
      </c>
      <c r="B39" s="19"/>
      <c r="C39" s="19"/>
      <c r="D39" s="19"/>
      <c r="E39" s="19"/>
      <c r="F39" s="117"/>
      <c r="G39" s="165"/>
      <c r="H39" s="132"/>
      <c r="I39" s="117"/>
      <c r="J39" s="129"/>
      <c r="K39" s="43"/>
      <c r="L39" s="72"/>
      <c r="N39" s="37"/>
      <c r="O39" s="37"/>
      <c r="P39" s="37"/>
      <c r="Q39" s="37"/>
      <c r="R39" s="37"/>
      <c r="S39" s="37"/>
      <c r="T39" s="37"/>
    </row>
    <row r="40" spans="1:20" ht="12.75">
      <c r="A40" s="9" t="s">
        <v>28</v>
      </c>
      <c r="B40" s="29">
        <f aca="true" t="shared" si="9" ref="B40:G40">B41+B42</f>
        <v>544862</v>
      </c>
      <c r="C40" s="29">
        <f t="shared" si="9"/>
        <v>548601</v>
      </c>
      <c r="D40" s="29">
        <f t="shared" si="9"/>
        <v>558731</v>
      </c>
      <c r="E40" s="29">
        <f t="shared" si="9"/>
        <v>27582.878</v>
      </c>
      <c r="F40" s="29">
        <f t="shared" si="9"/>
        <v>456.963</v>
      </c>
      <c r="G40" s="29">
        <f t="shared" si="9"/>
        <v>0</v>
      </c>
      <c r="H40" s="29">
        <f t="shared" si="6"/>
        <v>586770.841</v>
      </c>
      <c r="I40" s="29">
        <f>I41+I42</f>
        <v>562843</v>
      </c>
      <c r="J40" s="45">
        <f t="shared" si="7"/>
        <v>100.73595343734283</v>
      </c>
      <c r="K40" s="45">
        <f aca="true" t="shared" si="10" ref="K40:K46">I40/H40*100</f>
        <v>95.92211484823936</v>
      </c>
      <c r="L40" s="133">
        <f aca="true" t="shared" si="11" ref="L40:L60">I40/B40*100</f>
        <v>103.30010167712192</v>
      </c>
      <c r="N40" s="38"/>
      <c r="O40" s="38"/>
      <c r="P40" s="37"/>
      <c r="Q40" s="37"/>
      <c r="R40" s="37"/>
      <c r="S40" s="37"/>
      <c r="T40" s="37"/>
    </row>
    <row r="41" spans="1:20" ht="12.75">
      <c r="A41" s="7" t="s">
        <v>29</v>
      </c>
      <c r="B41" s="19">
        <v>533124</v>
      </c>
      <c r="C41" s="19">
        <v>532111</v>
      </c>
      <c r="D41" s="19">
        <v>542241</v>
      </c>
      <c r="E41" s="19">
        <v>21601.3</v>
      </c>
      <c r="F41" s="19">
        <v>456.963</v>
      </c>
      <c r="G41" s="19"/>
      <c r="H41" s="19">
        <f t="shared" si="6"/>
        <v>564299.263</v>
      </c>
      <c r="I41" s="19">
        <f>550914+1</f>
        <v>550915</v>
      </c>
      <c r="J41" s="43">
        <f t="shared" si="7"/>
        <v>101.59965771677169</v>
      </c>
      <c r="K41" s="43">
        <f t="shared" si="10"/>
        <v>97.62816223986455</v>
      </c>
      <c r="L41" s="72">
        <f t="shared" si="11"/>
        <v>103.3371223205108</v>
      </c>
      <c r="N41" s="37"/>
      <c r="O41" s="39"/>
      <c r="P41" s="37"/>
      <c r="Q41" s="37"/>
      <c r="R41" s="37"/>
      <c r="S41" s="37"/>
      <c r="T41" s="37"/>
    </row>
    <row r="42" spans="1:20" ht="12.75">
      <c r="A42" s="16" t="s">
        <v>30</v>
      </c>
      <c r="B42" s="19">
        <v>11738</v>
      </c>
      <c r="C42" s="19">
        <v>16490</v>
      </c>
      <c r="D42" s="19">
        <v>16490</v>
      </c>
      <c r="E42" s="19">
        <v>5981.578</v>
      </c>
      <c r="F42" s="19"/>
      <c r="G42" s="19"/>
      <c r="H42" s="19">
        <f t="shared" si="6"/>
        <v>22471.578</v>
      </c>
      <c r="I42" s="19">
        <f>11928+1-1</f>
        <v>11928</v>
      </c>
      <c r="J42" s="43">
        <f t="shared" si="7"/>
        <v>72.33474833232262</v>
      </c>
      <c r="K42" s="43">
        <f t="shared" si="10"/>
        <v>53.08038447500215</v>
      </c>
      <c r="L42" s="72">
        <f t="shared" si="11"/>
        <v>101.61867439086727</v>
      </c>
      <c r="N42" s="38"/>
      <c r="O42" s="39"/>
      <c r="P42" s="37"/>
      <c r="Q42" s="37"/>
      <c r="R42" s="37"/>
      <c r="S42" s="37"/>
      <c r="T42" s="37"/>
    </row>
    <row r="43" spans="1:20" ht="12.75">
      <c r="A43" s="10" t="s">
        <v>31</v>
      </c>
      <c r="B43" s="36">
        <v>183658</v>
      </c>
      <c r="C43" s="36">
        <v>186463</v>
      </c>
      <c r="D43" s="36">
        <v>189911</v>
      </c>
      <c r="E43" s="29">
        <v>9382.507</v>
      </c>
      <c r="F43" s="19">
        <f>114.241+41.126</f>
        <v>155.367</v>
      </c>
      <c r="G43" s="19"/>
      <c r="H43" s="36">
        <f t="shared" si="6"/>
        <v>199448.874</v>
      </c>
      <c r="I43" s="36">
        <f>190558</f>
        <v>190558</v>
      </c>
      <c r="J43" s="44">
        <f t="shared" si="7"/>
        <v>100.34068590023747</v>
      </c>
      <c r="K43" s="45">
        <f t="shared" si="10"/>
        <v>95.54227917075129</v>
      </c>
      <c r="L43" s="133">
        <f t="shared" si="11"/>
        <v>103.7569830881312</v>
      </c>
      <c r="N43" s="37"/>
      <c r="O43" s="37"/>
      <c r="P43" s="37"/>
      <c r="Q43" s="37"/>
      <c r="R43" s="37"/>
      <c r="S43" s="37"/>
      <c r="T43" s="37"/>
    </row>
    <row r="44" spans="1:12" ht="12.75">
      <c r="A44" s="10" t="s">
        <v>32</v>
      </c>
      <c r="B44" s="36">
        <v>5332</v>
      </c>
      <c r="C44" s="36">
        <v>5323</v>
      </c>
      <c r="D44" s="36">
        <v>5428</v>
      </c>
      <c r="E44" s="29">
        <v>272.873</v>
      </c>
      <c r="F44" s="36">
        <v>4.57</v>
      </c>
      <c r="G44" s="29"/>
      <c r="H44" s="36">
        <f t="shared" si="6"/>
        <v>5705.442999999999</v>
      </c>
      <c r="I44" s="36">
        <f>5547+1</f>
        <v>5548</v>
      </c>
      <c r="J44" s="44">
        <f t="shared" si="7"/>
        <v>102.21075902726602</v>
      </c>
      <c r="K44" s="45">
        <f t="shared" si="10"/>
        <v>97.24047720746664</v>
      </c>
      <c r="L44" s="133">
        <f t="shared" si="11"/>
        <v>104.05101275318829</v>
      </c>
    </row>
    <row r="45" spans="1:12" ht="12.75">
      <c r="A45" s="9" t="s">
        <v>33</v>
      </c>
      <c r="B45" s="36">
        <v>0</v>
      </c>
      <c r="C45" s="29"/>
      <c r="D45" s="36"/>
      <c r="E45" s="45"/>
      <c r="F45" s="44"/>
      <c r="G45" s="45"/>
      <c r="H45" s="36">
        <f t="shared" si="6"/>
        <v>0</v>
      </c>
      <c r="I45" s="36">
        <v>0</v>
      </c>
      <c r="J45" s="44"/>
      <c r="K45" s="43"/>
      <c r="L45" s="72"/>
    </row>
    <row r="46" spans="1:12" ht="12.75">
      <c r="A46" s="9" t="s">
        <v>34</v>
      </c>
      <c r="B46" s="29">
        <f aca="true" t="shared" si="12" ref="B46:G46">B48+B49+B50+B52+B56</f>
        <v>1531478</v>
      </c>
      <c r="C46" s="29">
        <f t="shared" si="12"/>
        <v>943303</v>
      </c>
      <c r="D46" s="29">
        <f t="shared" si="12"/>
        <v>3362253</v>
      </c>
      <c r="E46" s="29">
        <f t="shared" si="12"/>
        <v>820282.7392200001</v>
      </c>
      <c r="F46" s="29">
        <f t="shared" si="12"/>
        <v>8.556</v>
      </c>
      <c r="G46" s="29">
        <f t="shared" si="12"/>
        <v>-48800</v>
      </c>
      <c r="H46" s="29">
        <f t="shared" si="6"/>
        <v>4133744.2952199997</v>
      </c>
      <c r="I46" s="29">
        <f>I48+I49+I50+I52+I56</f>
        <v>3273354</v>
      </c>
      <c r="J46" s="45">
        <f t="shared" si="7"/>
        <v>97.35596934555491</v>
      </c>
      <c r="K46" s="45">
        <f t="shared" si="10"/>
        <v>79.18617520162287</v>
      </c>
      <c r="L46" s="133">
        <f t="shared" si="11"/>
        <v>213.73823195631934</v>
      </c>
    </row>
    <row r="47" spans="1:12" ht="12.75">
      <c r="A47" s="7" t="s">
        <v>35</v>
      </c>
      <c r="B47" s="19"/>
      <c r="C47" s="19"/>
      <c r="D47" s="19"/>
      <c r="E47" s="19"/>
      <c r="F47" s="19"/>
      <c r="G47" s="19"/>
      <c r="H47" s="19"/>
      <c r="I47" s="47"/>
      <c r="J47" s="43"/>
      <c r="K47" s="43"/>
      <c r="L47" s="72"/>
    </row>
    <row r="48" spans="1:12" ht="12.75">
      <c r="A48" s="7" t="s">
        <v>36</v>
      </c>
      <c r="B48" s="19">
        <v>17571</v>
      </c>
      <c r="C48" s="19">
        <v>16155</v>
      </c>
      <c r="D48" s="19">
        <f>267+43722</f>
        <v>43989</v>
      </c>
      <c r="E48" s="19">
        <f>8688.017</f>
        <v>8688.017</v>
      </c>
      <c r="F48" s="19"/>
      <c r="G48" s="19"/>
      <c r="H48" s="19">
        <f t="shared" si="6"/>
        <v>52677.017</v>
      </c>
      <c r="I48" s="19">
        <f>446+1+34606</f>
        <v>35053</v>
      </c>
      <c r="J48" s="43">
        <f t="shared" si="7"/>
        <v>79.68583054854624</v>
      </c>
      <c r="K48" s="43">
        <f aca="true" t="shared" si="13" ref="K48:K60">I48/H48*100</f>
        <v>66.54325168032959</v>
      </c>
      <c r="L48" s="72">
        <f t="shared" si="11"/>
        <v>199.49348358090035</v>
      </c>
    </row>
    <row r="49" spans="1:12" ht="12.75">
      <c r="A49" s="7" t="s">
        <v>37</v>
      </c>
      <c r="B49" s="19">
        <v>32492</v>
      </c>
      <c r="C49" s="19">
        <v>60665</v>
      </c>
      <c r="D49" s="19">
        <f>1066+38101</f>
        <v>39167</v>
      </c>
      <c r="E49" s="19">
        <f>2677.05</f>
        <v>2677.05</v>
      </c>
      <c r="F49" s="19"/>
      <c r="G49" s="19"/>
      <c r="H49" s="19">
        <f t="shared" si="6"/>
        <v>41844.05</v>
      </c>
      <c r="I49" s="19">
        <f>525+32364</f>
        <v>32889</v>
      </c>
      <c r="J49" s="43">
        <f t="shared" si="7"/>
        <v>83.9712002451043</v>
      </c>
      <c r="K49" s="43">
        <f t="shared" si="13"/>
        <v>78.59898838664039</v>
      </c>
      <c r="L49" s="72">
        <f t="shared" si="11"/>
        <v>101.22183922196233</v>
      </c>
    </row>
    <row r="50" spans="1:12" ht="12.75">
      <c r="A50" s="7" t="s">
        <v>38</v>
      </c>
      <c r="B50" s="19">
        <v>1222706</v>
      </c>
      <c r="C50" s="19">
        <v>674520</v>
      </c>
      <c r="D50" s="19">
        <f>624+49+996761</f>
        <v>997434</v>
      </c>
      <c r="E50" s="19">
        <f>637287.344</f>
        <v>637287.344</v>
      </c>
      <c r="F50" s="19"/>
      <c r="G50" s="19">
        <f>-27000</f>
        <v>-27000</v>
      </c>
      <c r="H50" s="19">
        <f t="shared" si="6"/>
        <v>1607721.344</v>
      </c>
      <c r="I50" s="19">
        <f>246+48+1+972577+1</f>
        <v>972873</v>
      </c>
      <c r="J50" s="43">
        <f t="shared" si="7"/>
        <v>97.53758143395955</v>
      </c>
      <c r="K50" s="43">
        <f t="shared" si="13"/>
        <v>60.512538670382924</v>
      </c>
      <c r="L50" s="72">
        <f t="shared" si="11"/>
        <v>79.56720585324682</v>
      </c>
    </row>
    <row r="51" spans="1:12" ht="12.75">
      <c r="A51" s="7" t="s">
        <v>39</v>
      </c>
      <c r="B51" s="19">
        <v>118099</v>
      </c>
      <c r="C51" s="19">
        <v>11169</v>
      </c>
      <c r="D51" s="19">
        <v>131459</v>
      </c>
      <c r="E51" s="19">
        <f>11216.531</f>
        <v>11216.531</v>
      </c>
      <c r="F51" s="19"/>
      <c r="G51" s="19"/>
      <c r="H51" s="19">
        <f t="shared" si="6"/>
        <v>142675.531</v>
      </c>
      <c r="I51" s="19">
        <v>121056</v>
      </c>
      <c r="J51" s="43">
        <f t="shared" si="7"/>
        <v>92.0865060589233</v>
      </c>
      <c r="K51" s="43">
        <f t="shared" si="13"/>
        <v>84.84706463086513</v>
      </c>
      <c r="L51" s="72">
        <f t="shared" si="11"/>
        <v>102.50383153117299</v>
      </c>
    </row>
    <row r="52" spans="1:12" ht="12.75">
      <c r="A52" s="7" t="s">
        <v>40</v>
      </c>
      <c r="B52" s="19">
        <v>89632</v>
      </c>
      <c r="C52" s="19">
        <v>113118</v>
      </c>
      <c r="D52" s="19">
        <f>827+10+79319</f>
        <v>80156</v>
      </c>
      <c r="E52" s="19">
        <v>44391.71568</v>
      </c>
      <c r="F52" s="19"/>
      <c r="G52" s="19">
        <f>-16500</f>
        <v>-16500</v>
      </c>
      <c r="H52" s="19">
        <f t="shared" si="6"/>
        <v>108047.71568</v>
      </c>
      <c r="I52" s="19">
        <f>588+6+1+76324+1</f>
        <v>76920</v>
      </c>
      <c r="J52" s="43">
        <f t="shared" si="7"/>
        <v>95.9628723988223</v>
      </c>
      <c r="K52" s="43">
        <f t="shared" si="13"/>
        <v>71.19076929660454</v>
      </c>
      <c r="L52" s="72">
        <f t="shared" si="11"/>
        <v>85.81756515530168</v>
      </c>
    </row>
    <row r="53" spans="1:12" ht="12.75">
      <c r="A53" s="7" t="s">
        <v>41</v>
      </c>
      <c r="B53" s="19">
        <v>58149</v>
      </c>
      <c r="C53" s="19">
        <v>68112</v>
      </c>
      <c r="D53" s="19">
        <f>827+7+44688</f>
        <v>45522</v>
      </c>
      <c r="E53" s="19">
        <f>20523.033</f>
        <v>20523.033</v>
      </c>
      <c r="F53" s="19"/>
      <c r="G53" s="19">
        <v>-3500</v>
      </c>
      <c r="H53" s="19">
        <f t="shared" si="6"/>
        <v>62545.032999999996</v>
      </c>
      <c r="I53" s="19">
        <f>588+6+1+45153+1</f>
        <v>45749</v>
      </c>
      <c r="J53" s="43">
        <f t="shared" si="7"/>
        <v>100.49865998857695</v>
      </c>
      <c r="K53" s="43">
        <f t="shared" si="13"/>
        <v>73.1456964776084</v>
      </c>
      <c r="L53" s="72">
        <f t="shared" si="11"/>
        <v>78.67547163321811</v>
      </c>
    </row>
    <row r="54" spans="1:12" ht="12.75">
      <c r="A54" s="7" t="s">
        <v>70</v>
      </c>
      <c r="B54" s="19">
        <v>796</v>
      </c>
      <c r="C54" s="19">
        <v>10590</v>
      </c>
      <c r="D54" s="19">
        <v>704</v>
      </c>
      <c r="E54" s="19">
        <v>0</v>
      </c>
      <c r="F54" s="19"/>
      <c r="G54" s="19"/>
      <c r="H54" s="19">
        <f t="shared" si="6"/>
        <v>704</v>
      </c>
      <c r="I54" s="19">
        <v>458</v>
      </c>
      <c r="J54" s="43">
        <f t="shared" si="7"/>
        <v>65.05681818181817</v>
      </c>
      <c r="K54" s="43">
        <f t="shared" si="13"/>
        <v>65.05681818181817</v>
      </c>
      <c r="L54" s="72">
        <f t="shared" si="11"/>
        <v>57.537688442211056</v>
      </c>
    </row>
    <row r="55" spans="1:12" ht="12.75">
      <c r="A55" s="7" t="s">
        <v>43</v>
      </c>
      <c r="B55" s="19">
        <v>23800</v>
      </c>
      <c r="C55" s="19">
        <v>31092</v>
      </c>
      <c r="D55" s="19">
        <f>3+30523</f>
        <v>30526</v>
      </c>
      <c r="E55" s="19">
        <f>22733.252</f>
        <v>22733.252</v>
      </c>
      <c r="F55" s="19"/>
      <c r="G55" s="19">
        <v>-13000</v>
      </c>
      <c r="H55" s="19">
        <f t="shared" si="6"/>
        <v>40259.252</v>
      </c>
      <c r="I55" s="19">
        <f>28232</f>
        <v>28232</v>
      </c>
      <c r="J55" s="43">
        <f t="shared" si="7"/>
        <v>92.48509467339318</v>
      </c>
      <c r="K55" s="43">
        <f t="shared" si="13"/>
        <v>70.12549562520437</v>
      </c>
      <c r="L55" s="72">
        <f t="shared" si="11"/>
        <v>118.62184873949579</v>
      </c>
    </row>
    <row r="56" spans="1:12" ht="13.5" thickBot="1">
      <c r="A56" s="15" t="s">
        <v>44</v>
      </c>
      <c r="B56" s="30">
        <v>169077</v>
      </c>
      <c r="C56" s="30">
        <f>630+30+5228+22010+42000+346+5520+671+2410</f>
        <v>78845</v>
      </c>
      <c r="D56" s="30">
        <f>500+123+16604+17000+42000+3553+13413+731+2107583</f>
        <v>2201507</v>
      </c>
      <c r="E56" s="30">
        <f>94537.91017+1741.121+8430.52964+2029.05173+20500</f>
        <v>127238.61254</v>
      </c>
      <c r="F56" s="30">
        <f>8.556</f>
        <v>8.556</v>
      </c>
      <c r="G56" s="30">
        <f>-3000-300-1000-1000</f>
        <v>-5300</v>
      </c>
      <c r="H56" s="30">
        <f t="shared" si="6"/>
        <v>2323454.16854</v>
      </c>
      <c r="I56" s="30">
        <f>327+1+21+13972+1+6000+33142+1+3266+12101+1+714+2086070+2</f>
        <v>2155619</v>
      </c>
      <c r="J56" s="46">
        <f t="shared" si="7"/>
        <v>97.9156096255883</v>
      </c>
      <c r="K56" s="114">
        <f t="shared" si="13"/>
        <v>92.77648034497433</v>
      </c>
      <c r="L56" s="105">
        <f t="shared" si="11"/>
        <v>1274.9333144070454</v>
      </c>
    </row>
    <row r="57" spans="1:12" ht="12.75">
      <c r="A57" s="18" t="s">
        <v>45</v>
      </c>
      <c r="B57" s="19">
        <v>1104</v>
      </c>
      <c r="C57" s="19">
        <v>1126</v>
      </c>
      <c r="D57" s="19">
        <v>1154</v>
      </c>
      <c r="E57" s="19"/>
      <c r="F57" s="19"/>
      <c r="G57" s="19"/>
      <c r="H57" s="113">
        <f>D57+E57+F57</f>
        <v>1154</v>
      </c>
      <c r="I57" s="19">
        <v>1121</v>
      </c>
      <c r="J57" s="43">
        <f t="shared" si="7"/>
        <v>97.14038128249567</v>
      </c>
      <c r="K57" s="43">
        <f t="shared" si="13"/>
        <v>97.14038128249567</v>
      </c>
      <c r="L57" s="72">
        <f t="shared" si="11"/>
        <v>101.53985507246377</v>
      </c>
    </row>
    <row r="58" spans="1:12" ht="12.75" customHeight="1" hidden="1">
      <c r="A58" s="18" t="s">
        <v>87</v>
      </c>
      <c r="B58" s="19"/>
      <c r="C58" s="19">
        <v>389470</v>
      </c>
      <c r="D58" s="19"/>
      <c r="E58" s="19"/>
      <c r="F58" s="19"/>
      <c r="G58" s="19"/>
      <c r="H58" s="76">
        <f>D58+E58+F58</f>
        <v>0</v>
      </c>
      <c r="I58" s="19"/>
      <c r="J58" s="43" t="e">
        <f t="shared" si="7"/>
        <v>#DIV/0!</v>
      </c>
      <c r="K58" s="43" t="e">
        <f t="shared" si="13"/>
        <v>#DIV/0!</v>
      </c>
      <c r="L58" s="72" t="e">
        <f t="shared" si="11"/>
        <v>#DIV/0!</v>
      </c>
    </row>
    <row r="59" spans="1:12" ht="12.75">
      <c r="A59" s="18" t="s">
        <v>46</v>
      </c>
      <c r="B59" s="19">
        <f>B41/B57/12*1000</f>
        <v>40241.84782608696</v>
      </c>
      <c r="C59" s="19">
        <f>C41/C57/12*1000</f>
        <v>39380.624629958555</v>
      </c>
      <c r="D59" s="19">
        <f>D41/D57/12*1000</f>
        <v>39156.629116117845</v>
      </c>
      <c r="E59" s="19"/>
      <c r="F59" s="19"/>
      <c r="G59" s="19"/>
      <c r="H59" s="19">
        <f>H41/H57/12*1000</f>
        <v>40749.513503755064</v>
      </c>
      <c r="I59" s="19">
        <f>I41/I57/12*1000</f>
        <v>40954.133214391906</v>
      </c>
      <c r="J59" s="43">
        <f t="shared" si="7"/>
        <v>104.59054862190413</v>
      </c>
      <c r="K59" s="43">
        <f t="shared" si="13"/>
        <v>100.50214025406214</v>
      </c>
      <c r="L59" s="72">
        <f t="shared" si="11"/>
        <v>101.77001163411587</v>
      </c>
    </row>
    <row r="60" spans="1:13" ht="13.5" thickBot="1">
      <c r="A60" s="110" t="s">
        <v>47</v>
      </c>
      <c r="B60" s="31">
        <f>B46/B57*1000</f>
        <v>1387208.3333333333</v>
      </c>
      <c r="C60" s="31">
        <f>C46/C57*1000</f>
        <v>837746.891651865</v>
      </c>
      <c r="D60" s="31">
        <f>D46/D57*1000</f>
        <v>2913564.1247833623</v>
      </c>
      <c r="E60" s="31"/>
      <c r="F60" s="31"/>
      <c r="G60" s="31"/>
      <c r="H60" s="31">
        <f>H46/H57*1000</f>
        <v>3582100.775753899</v>
      </c>
      <c r="I60" s="31">
        <f>I46/I57*1000</f>
        <v>2920030.3300624443</v>
      </c>
      <c r="J60" s="81">
        <f t="shared" si="7"/>
        <v>100.2219345448442</v>
      </c>
      <c r="K60" s="114">
        <f t="shared" si="13"/>
        <v>81.517257968486</v>
      </c>
      <c r="L60" s="115">
        <f t="shared" si="11"/>
        <v>210.49688499534037</v>
      </c>
      <c r="M60" s="11"/>
    </row>
    <row r="62" ht="12.75">
      <c r="A62" s="1" t="s">
        <v>62</v>
      </c>
    </row>
    <row r="63" spans="1:2" ht="12.75">
      <c r="A63" s="35" t="s">
        <v>73</v>
      </c>
      <c r="B63" s="26"/>
    </row>
    <row r="64" ht="12.75">
      <c r="A64" s="35" t="s">
        <v>67</v>
      </c>
    </row>
    <row r="65" ht="12.75">
      <c r="A65" s="35" t="s">
        <v>74</v>
      </c>
    </row>
    <row r="66" ht="12.75">
      <c r="A66" s="1" t="s">
        <v>69</v>
      </c>
    </row>
    <row r="67" ht="12.75">
      <c r="A67" s="1" t="s">
        <v>72</v>
      </c>
    </row>
    <row r="68" spans="1:11" ht="12.75">
      <c r="A68" s="180" t="s">
        <v>68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</sheetData>
  <sheetProtection/>
  <mergeCells count="1">
    <mergeCell ref="A68:K68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N28" sqref="N28"/>
    </sheetView>
  </sheetViews>
  <sheetFormatPr defaultColWidth="9.125" defaultRowHeight="12.75"/>
  <cols>
    <col min="1" max="1" width="33.125" style="1" customWidth="1"/>
    <col min="2" max="2" width="10.125" style="14" customWidth="1"/>
    <col min="3" max="3" width="9.25390625" style="1" customWidth="1"/>
    <col min="4" max="4" width="9.75390625" style="1" customWidth="1"/>
    <col min="5" max="5" width="10.625" style="1" customWidth="1"/>
    <col min="6" max="6" width="9.75390625" style="1" customWidth="1"/>
    <col min="7" max="7" width="11.125" style="1" customWidth="1"/>
    <col min="8" max="8" width="10.125" style="1" customWidth="1"/>
    <col min="9" max="10" width="10.00390625" style="1" customWidth="1"/>
    <col min="11" max="11" width="8.00390625" style="1" customWidth="1"/>
    <col min="12" max="12" width="8.375" style="1" customWidth="1"/>
    <col min="13" max="16384" width="9.125" style="1" customWidth="1"/>
  </cols>
  <sheetData>
    <row r="1" spans="1:11" ht="18.75">
      <c r="A1" s="179" t="s">
        <v>76</v>
      </c>
      <c r="B1" s="13"/>
      <c r="K1" s="176" t="s">
        <v>92</v>
      </c>
    </row>
    <row r="2" ht="12.75">
      <c r="A2" s="1" t="s">
        <v>90</v>
      </c>
    </row>
    <row r="3" spans="2:12" ht="13.5" thickBot="1">
      <c r="B3" s="48"/>
      <c r="C3" s="37"/>
      <c r="D3" s="37"/>
      <c r="E3" s="37"/>
      <c r="F3" s="37"/>
      <c r="G3" s="37"/>
      <c r="H3" s="37"/>
      <c r="I3" s="49"/>
      <c r="J3" s="49"/>
      <c r="K3" s="37"/>
      <c r="L3" s="50"/>
    </row>
    <row r="4" spans="1:12" ht="12.75">
      <c r="A4" s="3"/>
      <c r="B4" s="51">
        <v>2011</v>
      </c>
      <c r="C4" s="52"/>
      <c r="D4" s="52">
        <v>2012</v>
      </c>
      <c r="E4" s="52"/>
      <c r="F4" s="52"/>
      <c r="G4" s="52"/>
      <c r="H4" s="52"/>
      <c r="I4" s="52"/>
      <c r="J4" s="52"/>
      <c r="K4" s="53"/>
      <c r="L4" s="54" t="s">
        <v>82</v>
      </c>
    </row>
    <row r="5" spans="1:12" ht="12.75">
      <c r="A5" s="4" t="s">
        <v>0</v>
      </c>
      <c r="B5" s="32" t="s">
        <v>1</v>
      </c>
      <c r="C5" s="55" t="s">
        <v>89</v>
      </c>
      <c r="D5" s="56"/>
      <c r="E5" s="57"/>
      <c r="F5" s="57"/>
      <c r="G5" s="57"/>
      <c r="H5" s="57"/>
      <c r="I5" s="58" t="s">
        <v>1</v>
      </c>
      <c r="J5" s="58" t="s">
        <v>2</v>
      </c>
      <c r="K5" s="58" t="s">
        <v>2</v>
      </c>
      <c r="L5" s="54" t="s">
        <v>3</v>
      </c>
    </row>
    <row r="6" spans="1:12" ht="13.5" thickBot="1">
      <c r="A6" s="5"/>
      <c r="B6" s="59" t="s">
        <v>88</v>
      </c>
      <c r="C6" s="60" t="s">
        <v>4</v>
      </c>
      <c r="D6" s="60" t="s">
        <v>63</v>
      </c>
      <c r="E6" s="61" t="s">
        <v>60</v>
      </c>
      <c r="F6" s="61" t="s">
        <v>81</v>
      </c>
      <c r="G6" s="61" t="s">
        <v>83</v>
      </c>
      <c r="H6" s="61" t="s">
        <v>65</v>
      </c>
      <c r="I6" s="59" t="s">
        <v>88</v>
      </c>
      <c r="J6" s="60" t="s">
        <v>80</v>
      </c>
      <c r="K6" s="60" t="s">
        <v>66</v>
      </c>
      <c r="L6" s="164" t="s">
        <v>5</v>
      </c>
    </row>
    <row r="7" spans="1:12" ht="13.5" thickBot="1">
      <c r="A7" s="5" t="s">
        <v>6</v>
      </c>
      <c r="B7" s="3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3" t="s">
        <v>84</v>
      </c>
      <c r="K7" s="64" t="s">
        <v>85</v>
      </c>
      <c r="L7" s="63" t="s">
        <v>86</v>
      </c>
    </row>
    <row r="8" spans="1:12" ht="12.75">
      <c r="A8" s="6" t="s">
        <v>7</v>
      </c>
      <c r="B8" s="27">
        <f>SUM(B10:B28)</f>
        <v>1517961</v>
      </c>
      <c r="C8" s="27">
        <f>SUM(C10:C28)</f>
        <v>1501605</v>
      </c>
      <c r="D8" s="65">
        <f>SUM(D10:D28)</f>
        <v>1501605</v>
      </c>
      <c r="E8" s="66" t="s">
        <v>64</v>
      </c>
      <c r="F8" s="65">
        <f>SUM(F10:F28)</f>
        <v>400</v>
      </c>
      <c r="G8" s="66" t="s">
        <v>64</v>
      </c>
      <c r="H8" s="65">
        <f>D8+F8</f>
        <v>1502005</v>
      </c>
      <c r="I8" s="65">
        <f>I10+I11+I13+I14+I15+I16+I17+I18+I19+I20+I21+I22+I23+I25+I26+I27+I28</f>
        <v>1437312</v>
      </c>
      <c r="J8" s="67">
        <f>I8/D8*100</f>
        <v>95.71838133197478</v>
      </c>
      <c r="K8" s="67">
        <f>I8/H8*100</f>
        <v>95.69289050302761</v>
      </c>
      <c r="L8" s="68">
        <f>I8/B8*100</f>
        <v>94.6870176506511</v>
      </c>
    </row>
    <row r="9" spans="1:12" ht="12.75">
      <c r="A9" s="7" t="s">
        <v>8</v>
      </c>
      <c r="B9" s="19"/>
      <c r="C9" s="19"/>
      <c r="D9" s="69"/>
      <c r="E9" s="70"/>
      <c r="F9" s="69"/>
      <c r="G9" s="70"/>
      <c r="H9" s="69"/>
      <c r="I9" s="69"/>
      <c r="J9" s="71"/>
      <c r="K9" s="71"/>
      <c r="L9" s="72"/>
    </row>
    <row r="10" spans="1:12" ht="12.75">
      <c r="A10" s="21" t="s">
        <v>58</v>
      </c>
      <c r="B10" s="69">
        <v>1210998</v>
      </c>
      <c r="C10" s="19">
        <v>1347744</v>
      </c>
      <c r="D10" s="153">
        <v>1347744</v>
      </c>
      <c r="E10" s="73" t="s">
        <v>64</v>
      </c>
      <c r="F10" s="19"/>
      <c r="G10" s="73" t="s">
        <v>64</v>
      </c>
      <c r="H10" s="19">
        <f aca="true" t="shared" si="0" ref="H10:H28">D10+F10</f>
        <v>1347744</v>
      </c>
      <c r="I10" s="154">
        <v>1107116</v>
      </c>
      <c r="J10" s="43">
        <f aca="true" t="shared" si="1" ref="J10:J27">I10/D10*100</f>
        <v>82.1458674644443</v>
      </c>
      <c r="K10" s="43">
        <f>I10/H10*100</f>
        <v>82.1458674644443</v>
      </c>
      <c r="L10" s="72"/>
    </row>
    <row r="11" spans="1:12" ht="12.75">
      <c r="A11" s="21" t="s">
        <v>9</v>
      </c>
      <c r="B11" s="69"/>
      <c r="C11" s="19"/>
      <c r="D11" s="153"/>
      <c r="E11" s="73" t="s">
        <v>64</v>
      </c>
      <c r="F11" s="19"/>
      <c r="G11" s="73" t="s">
        <v>64</v>
      </c>
      <c r="H11" s="19">
        <f t="shared" si="0"/>
        <v>0</v>
      </c>
      <c r="I11" s="154"/>
      <c r="J11" s="43"/>
      <c r="K11" s="44"/>
      <c r="L11" s="72"/>
    </row>
    <row r="12" spans="1:12" ht="12.75">
      <c r="A12" s="21" t="s">
        <v>10</v>
      </c>
      <c r="B12" s="69"/>
      <c r="C12" s="19"/>
      <c r="D12" s="153"/>
      <c r="E12" s="73" t="s">
        <v>64</v>
      </c>
      <c r="F12" s="19"/>
      <c r="G12" s="73" t="s">
        <v>64</v>
      </c>
      <c r="H12" s="19">
        <f t="shared" si="0"/>
        <v>0</v>
      </c>
      <c r="I12" s="154"/>
      <c r="J12" s="43"/>
      <c r="K12" s="44"/>
      <c r="L12" s="72"/>
    </row>
    <row r="13" spans="1:12" ht="12.75">
      <c r="A13" s="7" t="s">
        <v>11</v>
      </c>
      <c r="B13" s="74">
        <v>2812</v>
      </c>
      <c r="C13" s="19">
        <v>150</v>
      </c>
      <c r="D13" s="153">
        <v>210</v>
      </c>
      <c r="E13" s="73" t="s">
        <v>64</v>
      </c>
      <c r="F13" s="19"/>
      <c r="G13" s="73" t="s">
        <v>64</v>
      </c>
      <c r="H13" s="19">
        <f t="shared" si="0"/>
        <v>210</v>
      </c>
      <c r="I13" s="155">
        <v>510</v>
      </c>
      <c r="J13" s="43">
        <f t="shared" si="1"/>
        <v>242.85714285714283</v>
      </c>
      <c r="K13" s="75">
        <f>I13/H13*100</f>
        <v>242.85714285714283</v>
      </c>
      <c r="L13" s="72">
        <f>I13/B13*100</f>
        <v>18.136557610241823</v>
      </c>
    </row>
    <row r="14" spans="1:12" ht="12.75">
      <c r="A14" s="17" t="s">
        <v>54</v>
      </c>
      <c r="B14" s="74"/>
      <c r="C14" s="19"/>
      <c r="D14" s="153"/>
      <c r="E14" s="73" t="s">
        <v>64</v>
      </c>
      <c r="F14" s="19"/>
      <c r="G14" s="73" t="s">
        <v>64</v>
      </c>
      <c r="H14" s="19">
        <f t="shared" si="0"/>
        <v>0</v>
      </c>
      <c r="I14" s="155"/>
      <c r="J14" s="43"/>
      <c r="K14" s="75"/>
      <c r="L14" s="72"/>
    </row>
    <row r="15" spans="1:12" ht="12.75">
      <c r="A15" s="7" t="s">
        <v>12</v>
      </c>
      <c r="B15" s="74">
        <v>29322</v>
      </c>
      <c r="C15" s="19">
        <v>24081</v>
      </c>
      <c r="D15" s="153">
        <v>22096</v>
      </c>
      <c r="E15" s="73" t="s">
        <v>64</v>
      </c>
      <c r="F15" s="19"/>
      <c r="G15" s="73" t="s">
        <v>64</v>
      </c>
      <c r="H15" s="19">
        <f t="shared" si="0"/>
        <v>22096</v>
      </c>
      <c r="I15" s="155">
        <v>30187</v>
      </c>
      <c r="J15" s="43">
        <f t="shared" si="1"/>
        <v>136.61748732802317</v>
      </c>
      <c r="K15" s="75">
        <f>I15/H15*100</f>
        <v>136.61748732802317</v>
      </c>
      <c r="L15" s="72">
        <f>I15/B15*100</f>
        <v>102.95000341040857</v>
      </c>
    </row>
    <row r="16" spans="1:12" ht="12.75">
      <c r="A16" s="7" t="s">
        <v>13</v>
      </c>
      <c r="B16" s="74">
        <v>669</v>
      </c>
      <c r="C16" s="19">
        <v>3040</v>
      </c>
      <c r="D16" s="153">
        <v>3040</v>
      </c>
      <c r="E16" s="73" t="s">
        <v>64</v>
      </c>
      <c r="F16" s="19"/>
      <c r="G16" s="73" t="s">
        <v>64</v>
      </c>
      <c r="H16" s="19">
        <f t="shared" si="0"/>
        <v>3040</v>
      </c>
      <c r="I16" s="155">
        <v>899</v>
      </c>
      <c r="J16" s="43">
        <f t="shared" si="1"/>
        <v>29.57236842105263</v>
      </c>
      <c r="K16" s="75">
        <f>I16/H16*100</f>
        <v>29.57236842105263</v>
      </c>
      <c r="L16" s="72">
        <f>I16/B16*100</f>
        <v>134.3796711509716</v>
      </c>
    </row>
    <row r="17" spans="1:12" ht="12.75">
      <c r="A17" s="7" t="s">
        <v>14</v>
      </c>
      <c r="B17" s="74">
        <f>254059+18</f>
        <v>254077</v>
      </c>
      <c r="C17" s="19">
        <v>120000</v>
      </c>
      <c r="D17" s="153">
        <v>120000</v>
      </c>
      <c r="E17" s="73" t="s">
        <v>64</v>
      </c>
      <c r="F17" s="19"/>
      <c r="G17" s="73" t="s">
        <v>64</v>
      </c>
      <c r="H17" s="19">
        <f t="shared" si="0"/>
        <v>120000</v>
      </c>
      <c r="I17" s="155">
        <v>285813</v>
      </c>
      <c r="J17" s="43">
        <f t="shared" si="1"/>
        <v>238.1775</v>
      </c>
      <c r="K17" s="75">
        <f>I17/H17*100</f>
        <v>238.1775</v>
      </c>
      <c r="L17" s="72"/>
    </row>
    <row r="18" spans="1:12" ht="12.75">
      <c r="A18" s="7" t="s">
        <v>15</v>
      </c>
      <c r="B18" s="74">
        <v>16</v>
      </c>
      <c r="C18" s="19">
        <v>79</v>
      </c>
      <c r="D18" s="153">
        <v>79</v>
      </c>
      <c r="E18" s="73" t="s">
        <v>64</v>
      </c>
      <c r="F18" s="19"/>
      <c r="G18" s="73" t="s">
        <v>64</v>
      </c>
      <c r="H18" s="19">
        <f t="shared" si="0"/>
        <v>79</v>
      </c>
      <c r="I18" s="155">
        <v>32</v>
      </c>
      <c r="J18" s="43">
        <f t="shared" si="1"/>
        <v>40.50632911392405</v>
      </c>
      <c r="K18" s="75">
        <f>I18/H18*100</f>
        <v>40.50632911392405</v>
      </c>
      <c r="L18" s="72">
        <f>I18/B18*100</f>
        <v>200</v>
      </c>
    </row>
    <row r="19" spans="1:12" ht="12.75">
      <c r="A19" s="7" t="s">
        <v>16</v>
      </c>
      <c r="B19" s="74">
        <f>10410-18</f>
        <v>10392</v>
      </c>
      <c r="C19" s="19">
        <v>5966</v>
      </c>
      <c r="D19" s="153">
        <v>7847</v>
      </c>
      <c r="E19" s="73" t="s">
        <v>64</v>
      </c>
      <c r="F19" s="19">
        <v>400</v>
      </c>
      <c r="G19" s="73" t="s">
        <v>64</v>
      </c>
      <c r="H19" s="19">
        <f t="shared" si="0"/>
        <v>8247</v>
      </c>
      <c r="I19" s="155">
        <v>11978</v>
      </c>
      <c r="J19" s="43">
        <f t="shared" si="1"/>
        <v>152.6443226710845</v>
      </c>
      <c r="K19" s="75">
        <f>I19/H19*100</f>
        <v>145.24069358554627</v>
      </c>
      <c r="L19" s="72">
        <f>I19/B19*100</f>
        <v>115.26173979984604</v>
      </c>
    </row>
    <row r="20" spans="1:12" ht="12.75">
      <c r="A20" s="7" t="s">
        <v>59</v>
      </c>
      <c r="B20" s="74"/>
      <c r="C20" s="19"/>
      <c r="D20" s="153"/>
      <c r="E20" s="73" t="s">
        <v>64</v>
      </c>
      <c r="F20" s="19"/>
      <c r="G20" s="73" t="s">
        <v>64</v>
      </c>
      <c r="H20" s="19">
        <f t="shared" si="0"/>
        <v>0</v>
      </c>
      <c r="I20" s="155"/>
      <c r="J20" s="43"/>
      <c r="K20" s="75"/>
      <c r="L20" s="72"/>
    </row>
    <row r="21" spans="1:12" ht="12.75">
      <c r="A21" s="18" t="s">
        <v>55</v>
      </c>
      <c r="B21" s="74"/>
      <c r="C21" s="19"/>
      <c r="D21" s="153"/>
      <c r="E21" s="73" t="s">
        <v>64</v>
      </c>
      <c r="F21" s="19"/>
      <c r="G21" s="73" t="s">
        <v>64</v>
      </c>
      <c r="H21" s="19">
        <f t="shared" si="0"/>
        <v>0</v>
      </c>
      <c r="I21" s="155"/>
      <c r="J21" s="43"/>
      <c r="K21" s="75"/>
      <c r="L21" s="72"/>
    </row>
    <row r="22" spans="1:12" ht="12.75">
      <c r="A22" s="7" t="s">
        <v>17</v>
      </c>
      <c r="B22" s="74">
        <v>6811</v>
      </c>
      <c r="C22" s="19">
        <v>545</v>
      </c>
      <c r="D22" s="153">
        <v>589</v>
      </c>
      <c r="E22" s="73" t="s">
        <v>64</v>
      </c>
      <c r="F22" s="19"/>
      <c r="G22" s="73" t="s">
        <v>64</v>
      </c>
      <c r="H22" s="19">
        <f t="shared" si="0"/>
        <v>589</v>
      </c>
      <c r="I22" s="155">
        <v>697</v>
      </c>
      <c r="J22" s="43">
        <f t="shared" si="1"/>
        <v>118.33616298811545</v>
      </c>
      <c r="K22" s="75">
        <f aca="true" t="shared" si="2" ref="K22:K27">I22/H22*100</f>
        <v>118.33616298811545</v>
      </c>
      <c r="L22" s="72">
        <f>I22/B22*100</f>
        <v>10.233445896344149</v>
      </c>
    </row>
    <row r="23" spans="1:12" ht="12.75">
      <c r="A23" s="18" t="s">
        <v>56</v>
      </c>
      <c r="B23" s="74"/>
      <c r="C23" s="19"/>
      <c r="D23" s="19"/>
      <c r="E23" s="73" t="s">
        <v>64</v>
      </c>
      <c r="F23" s="19"/>
      <c r="G23" s="73" t="s">
        <v>64</v>
      </c>
      <c r="H23" s="19">
        <f t="shared" si="0"/>
        <v>0</v>
      </c>
      <c r="I23" s="74"/>
      <c r="J23" s="43"/>
      <c r="K23" s="75"/>
      <c r="L23" s="72"/>
    </row>
    <row r="24" spans="1:12" ht="12.75" customHeight="1">
      <c r="A24" s="7" t="s">
        <v>18</v>
      </c>
      <c r="B24" s="74"/>
      <c r="C24" s="19"/>
      <c r="D24" s="19"/>
      <c r="E24" s="73" t="s">
        <v>64</v>
      </c>
      <c r="F24" s="19"/>
      <c r="G24" s="73" t="s">
        <v>64</v>
      </c>
      <c r="H24" s="19">
        <f t="shared" si="0"/>
        <v>0</v>
      </c>
      <c r="I24" s="74"/>
      <c r="J24" s="43"/>
      <c r="K24" s="75"/>
      <c r="L24" s="72"/>
    </row>
    <row r="25" spans="1:12" ht="12.75" customHeight="1">
      <c r="A25" s="7" t="s">
        <v>78</v>
      </c>
      <c r="B25" s="74"/>
      <c r="C25" s="34"/>
      <c r="D25" s="34"/>
      <c r="E25" s="73" t="s">
        <v>64</v>
      </c>
      <c r="F25" s="19"/>
      <c r="G25" s="73" t="s">
        <v>64</v>
      </c>
      <c r="H25" s="19">
        <f t="shared" si="0"/>
        <v>0</v>
      </c>
      <c r="I25" s="74"/>
      <c r="J25" s="43" t="e">
        <f t="shared" si="1"/>
        <v>#DIV/0!</v>
      </c>
      <c r="K25" s="75" t="e">
        <f t="shared" si="2"/>
        <v>#DIV/0!</v>
      </c>
      <c r="L25" s="72"/>
    </row>
    <row r="26" spans="1:12" ht="12.75" customHeight="1">
      <c r="A26" s="7" t="s">
        <v>57</v>
      </c>
      <c r="B26" s="74"/>
      <c r="C26" s="34"/>
      <c r="D26" s="19"/>
      <c r="E26" s="73" t="s">
        <v>64</v>
      </c>
      <c r="F26" s="19"/>
      <c r="G26" s="73" t="s">
        <v>64</v>
      </c>
      <c r="H26" s="19">
        <f t="shared" si="0"/>
        <v>0</v>
      </c>
      <c r="I26" s="74"/>
      <c r="J26" s="43"/>
      <c r="K26" s="75"/>
      <c r="L26" s="72"/>
    </row>
    <row r="27" spans="1:12" ht="12.75" customHeight="1">
      <c r="A27" s="21" t="s">
        <v>79</v>
      </c>
      <c r="B27" s="76"/>
      <c r="C27" s="34"/>
      <c r="D27" s="34"/>
      <c r="E27" s="73" t="s">
        <v>64</v>
      </c>
      <c r="F27" s="34"/>
      <c r="G27" s="73" t="s">
        <v>64</v>
      </c>
      <c r="H27" s="34">
        <f t="shared" si="0"/>
        <v>0</v>
      </c>
      <c r="I27" s="76"/>
      <c r="J27" s="77" t="e">
        <f t="shared" si="1"/>
        <v>#DIV/0!</v>
      </c>
      <c r="K27" s="78" t="e">
        <f t="shared" si="2"/>
        <v>#DIV/0!</v>
      </c>
      <c r="L27" s="79"/>
    </row>
    <row r="28" spans="1:12" ht="13.5" thickBot="1">
      <c r="A28" s="5" t="s">
        <v>19</v>
      </c>
      <c r="B28" s="80">
        <v>2864</v>
      </c>
      <c r="C28" s="31"/>
      <c r="D28" s="31"/>
      <c r="E28" s="33" t="s">
        <v>64</v>
      </c>
      <c r="F28" s="31">
        <v>0</v>
      </c>
      <c r="G28" s="33" t="s">
        <v>64</v>
      </c>
      <c r="H28" s="31">
        <f t="shared" si="0"/>
        <v>0</v>
      </c>
      <c r="I28" s="156">
        <v>80</v>
      </c>
      <c r="J28" s="81"/>
      <c r="K28" s="82"/>
      <c r="L28" s="83">
        <f>I28/B28*100</f>
        <v>2.793296089385475</v>
      </c>
    </row>
    <row r="29" spans="1:12" ht="12.75">
      <c r="A29" s="4"/>
      <c r="B29" s="28"/>
      <c r="C29" s="28"/>
      <c r="D29" s="84"/>
      <c r="E29" s="84"/>
      <c r="F29" s="84"/>
      <c r="G29" s="84"/>
      <c r="H29" s="84"/>
      <c r="I29" s="84"/>
      <c r="J29" s="85"/>
      <c r="K29" s="85"/>
      <c r="L29" s="86"/>
    </row>
    <row r="30" spans="1:12" ht="12.75">
      <c r="A30" s="6" t="s">
        <v>20</v>
      </c>
      <c r="B30" s="27">
        <f aca="true" t="shared" si="3" ref="B30:G30">B32+B38</f>
        <v>7972021</v>
      </c>
      <c r="C30" s="27">
        <f t="shared" si="3"/>
        <v>7136285</v>
      </c>
      <c r="D30" s="27">
        <f t="shared" si="3"/>
        <v>8811714</v>
      </c>
      <c r="E30" s="27">
        <f t="shared" si="3"/>
        <v>102171</v>
      </c>
      <c r="F30" s="27">
        <f t="shared" si="3"/>
        <v>400</v>
      </c>
      <c r="G30" s="27">
        <f t="shared" si="3"/>
        <v>-281883</v>
      </c>
      <c r="H30" s="27">
        <f>D30+E30+F30+G30</f>
        <v>8632402</v>
      </c>
      <c r="I30" s="27">
        <f>I32+I38</f>
        <v>8335333</v>
      </c>
      <c r="J30" s="87">
        <f>I30/D30*100</f>
        <v>94.59377596685503</v>
      </c>
      <c r="K30" s="88">
        <f>I30/H30*100</f>
        <v>96.5586750941395</v>
      </c>
      <c r="L30" s="68">
        <f>I30/B30*100</f>
        <v>104.55733872251464</v>
      </c>
    </row>
    <row r="31" spans="1:12" ht="12.75">
      <c r="A31" s="7" t="s">
        <v>21</v>
      </c>
      <c r="B31" s="19"/>
      <c r="C31" s="19"/>
      <c r="D31" s="89"/>
      <c r="E31" s="89"/>
      <c r="F31" s="89"/>
      <c r="G31" s="89"/>
      <c r="H31" s="89"/>
      <c r="I31" s="89"/>
      <c r="J31" s="90"/>
      <c r="K31" s="90"/>
      <c r="L31" s="72"/>
    </row>
    <row r="32" spans="1:12" ht="12.75">
      <c r="A32" s="6" t="s">
        <v>22</v>
      </c>
      <c r="B32" s="27">
        <f aca="true" t="shared" si="4" ref="B32:G32">B34+B35+B36</f>
        <v>786792</v>
      </c>
      <c r="C32" s="27">
        <f t="shared" si="4"/>
        <v>158013</v>
      </c>
      <c r="D32" s="27">
        <f t="shared" si="4"/>
        <v>1230648</v>
      </c>
      <c r="E32" s="27">
        <f t="shared" si="4"/>
        <v>68746</v>
      </c>
      <c r="F32" s="27">
        <f t="shared" si="4"/>
        <v>0</v>
      </c>
      <c r="G32" s="27">
        <f t="shared" si="4"/>
        <v>0</v>
      </c>
      <c r="H32" s="27">
        <f aca="true" t="shared" si="5" ref="H32:H56">D32+E32+F32+G32</f>
        <v>1299394</v>
      </c>
      <c r="I32" s="27">
        <f>I34+I35+I36</f>
        <v>1078486</v>
      </c>
      <c r="J32" s="88">
        <f>I32/D32*100</f>
        <v>87.63561960853144</v>
      </c>
      <c r="K32" s="88">
        <f>I32/H32*100</f>
        <v>82.99915191235299</v>
      </c>
      <c r="L32" s="68">
        <f>I32/B32*100</f>
        <v>137.0738390832647</v>
      </c>
    </row>
    <row r="33" spans="1:12" ht="12.75">
      <c r="A33" s="7" t="s">
        <v>23</v>
      </c>
      <c r="B33" s="19"/>
      <c r="C33" s="19"/>
      <c r="D33" s="91"/>
      <c r="E33" s="91"/>
      <c r="F33" s="91"/>
      <c r="G33" s="91"/>
      <c r="H33" s="91">
        <f t="shared" si="5"/>
        <v>0</v>
      </c>
      <c r="I33" s="91"/>
      <c r="J33" s="92"/>
      <c r="K33" s="92"/>
      <c r="L33" s="72"/>
    </row>
    <row r="34" spans="1:12" ht="12.75">
      <c r="A34" s="7" t="s">
        <v>24</v>
      </c>
      <c r="B34" s="74">
        <v>477045</v>
      </c>
      <c r="C34" s="19">
        <v>138013</v>
      </c>
      <c r="D34" s="155">
        <v>704381</v>
      </c>
      <c r="E34" s="155">
        <v>28080</v>
      </c>
      <c r="F34" s="74"/>
      <c r="G34" s="74"/>
      <c r="H34" s="74">
        <f t="shared" si="5"/>
        <v>732461</v>
      </c>
      <c r="I34" s="155">
        <v>668861</v>
      </c>
      <c r="J34" s="43">
        <f aca="true" t="shared" si="6" ref="J34:J60">I34/D34*100</f>
        <v>94.95727454318047</v>
      </c>
      <c r="K34" s="75">
        <f>I34/H34*100</f>
        <v>91.3169438372828</v>
      </c>
      <c r="L34" s="72"/>
    </row>
    <row r="35" spans="1:12" ht="12.75">
      <c r="A35" s="7" t="s">
        <v>25</v>
      </c>
      <c r="B35" s="74">
        <v>309747</v>
      </c>
      <c r="C35" s="19">
        <v>20000</v>
      </c>
      <c r="D35" s="153">
        <v>526267</v>
      </c>
      <c r="E35" s="153">
        <v>40666</v>
      </c>
      <c r="F35" s="19"/>
      <c r="G35" s="19"/>
      <c r="H35" s="19">
        <f t="shared" si="5"/>
        <v>566933</v>
      </c>
      <c r="I35" s="155">
        <v>409625</v>
      </c>
      <c r="J35" s="43">
        <f t="shared" si="6"/>
        <v>77.83596539399203</v>
      </c>
      <c r="K35" s="75">
        <f>I35/H35*100</f>
        <v>72.25280588711541</v>
      </c>
      <c r="L35" s="72">
        <f>I35/B35*100</f>
        <v>132.2450257791036</v>
      </c>
    </row>
    <row r="36" spans="1:12" ht="12.75">
      <c r="A36" s="8" t="s">
        <v>26</v>
      </c>
      <c r="B36" s="93"/>
      <c r="C36" s="94"/>
      <c r="D36" s="93"/>
      <c r="E36" s="93"/>
      <c r="F36" s="93"/>
      <c r="G36" s="93"/>
      <c r="H36" s="93">
        <f t="shared" si="5"/>
        <v>0</v>
      </c>
      <c r="I36" s="93"/>
      <c r="J36" s="95"/>
      <c r="K36" s="96"/>
      <c r="L36" s="68"/>
    </row>
    <row r="37" spans="1:12" ht="12.75">
      <c r="A37" s="4"/>
      <c r="B37" s="28"/>
      <c r="C37" s="28"/>
      <c r="D37" s="97"/>
      <c r="E37" s="98"/>
      <c r="F37" s="98"/>
      <c r="G37" s="98"/>
      <c r="H37" s="98"/>
      <c r="I37" s="98"/>
      <c r="J37" s="99"/>
      <c r="K37" s="99"/>
      <c r="L37" s="86"/>
    </row>
    <row r="38" spans="1:12" ht="12.75">
      <c r="A38" s="6" t="s">
        <v>27</v>
      </c>
      <c r="B38" s="27">
        <f>B40+B43+B44+B45+B46</f>
        <v>7185229</v>
      </c>
      <c r="C38" s="27">
        <f>C40+C43+C44+B45+C46</f>
        <v>6978272</v>
      </c>
      <c r="D38" s="27">
        <f>D40+D43+D44+C45+D46</f>
        <v>7581066</v>
      </c>
      <c r="E38" s="27">
        <f>E40+E43+E44+D45+E46</f>
        <v>33425</v>
      </c>
      <c r="F38" s="27">
        <f>F40+F43+F44+E45+F46</f>
        <v>400</v>
      </c>
      <c r="G38" s="27">
        <f>G40+G43+G44+F45+G46</f>
        <v>-281883</v>
      </c>
      <c r="H38" s="27">
        <f t="shared" si="5"/>
        <v>7333008</v>
      </c>
      <c r="I38" s="27">
        <f>I40+I43+I44+I45+I46</f>
        <v>7256847</v>
      </c>
      <c r="J38" s="87">
        <f t="shared" si="6"/>
        <v>95.72330593085458</v>
      </c>
      <c r="K38" s="100">
        <f>I38/H38*100</f>
        <v>98.96139483278894</v>
      </c>
      <c r="L38" s="68">
        <f>I38/B38*100</f>
        <v>100.99673928277025</v>
      </c>
    </row>
    <row r="39" spans="1:12" ht="12.75">
      <c r="A39" s="7" t="s">
        <v>23</v>
      </c>
      <c r="B39" s="19"/>
      <c r="C39" s="19"/>
      <c r="D39" s="89"/>
      <c r="E39" s="89"/>
      <c r="F39" s="89"/>
      <c r="G39" s="89"/>
      <c r="H39" s="89"/>
      <c r="I39" s="89"/>
      <c r="J39" s="90"/>
      <c r="K39" s="90"/>
      <c r="L39" s="72"/>
    </row>
    <row r="40" spans="1:12" ht="12.75">
      <c r="A40" s="9" t="s">
        <v>28</v>
      </c>
      <c r="B40" s="29">
        <f aca="true" t="shared" si="7" ref="B40:G40">B41+B42</f>
        <v>4354480</v>
      </c>
      <c r="C40" s="29">
        <f t="shared" si="7"/>
        <v>4273945</v>
      </c>
      <c r="D40" s="29">
        <f t="shared" si="7"/>
        <v>4699758</v>
      </c>
      <c r="E40" s="29">
        <f t="shared" si="7"/>
        <v>797</v>
      </c>
      <c r="F40" s="29">
        <f t="shared" si="7"/>
        <v>0</v>
      </c>
      <c r="G40" s="29">
        <f t="shared" si="7"/>
        <v>-208802</v>
      </c>
      <c r="H40" s="29">
        <f t="shared" si="5"/>
        <v>4491753</v>
      </c>
      <c r="I40" s="29">
        <f>I41+I42</f>
        <v>4491641</v>
      </c>
      <c r="J40" s="45">
        <f t="shared" si="6"/>
        <v>95.57175071567515</v>
      </c>
      <c r="K40" s="44">
        <f>I40/H40*100</f>
        <v>99.99750654143271</v>
      </c>
      <c r="L40" s="72">
        <f>I40/B40*100</f>
        <v>103.14988241994452</v>
      </c>
    </row>
    <row r="41" spans="1:12" ht="12.75">
      <c r="A41" s="7" t="s">
        <v>29</v>
      </c>
      <c r="B41" s="101">
        <v>4332772</v>
      </c>
      <c r="C41" s="19">
        <v>4259952</v>
      </c>
      <c r="D41" s="157">
        <v>4692375</v>
      </c>
      <c r="E41" s="101">
        <v>769</v>
      </c>
      <c r="F41" s="101"/>
      <c r="G41" s="101">
        <v>-208802</v>
      </c>
      <c r="H41" s="101">
        <f t="shared" si="5"/>
        <v>4484342</v>
      </c>
      <c r="I41" s="157">
        <v>4484230</v>
      </c>
      <c r="J41" s="43">
        <f t="shared" si="6"/>
        <v>95.56418657929086</v>
      </c>
      <c r="K41" s="75">
        <f>I41/H41*100</f>
        <v>99.99750242064499</v>
      </c>
      <c r="L41" s="72">
        <f>I41/B41*100</f>
        <v>103.49563743488002</v>
      </c>
    </row>
    <row r="42" spans="1:12" ht="12.75">
      <c r="A42" s="7" t="s">
        <v>48</v>
      </c>
      <c r="B42" s="101">
        <v>21708</v>
      </c>
      <c r="C42" s="19">
        <v>13993</v>
      </c>
      <c r="D42" s="157">
        <v>7383</v>
      </c>
      <c r="E42" s="101">
        <v>28</v>
      </c>
      <c r="F42" s="101"/>
      <c r="G42" s="101"/>
      <c r="H42" s="101">
        <f t="shared" si="5"/>
        <v>7411</v>
      </c>
      <c r="I42" s="157">
        <v>7411</v>
      </c>
      <c r="J42" s="43">
        <f t="shared" si="6"/>
        <v>100.3792496275227</v>
      </c>
      <c r="K42" s="75">
        <f>I42/H42*100</f>
        <v>100</v>
      </c>
      <c r="L42" s="72">
        <f>I42/B42*100</f>
        <v>34.139487746452915</v>
      </c>
    </row>
    <row r="43" spans="1:12" ht="12.75">
      <c r="A43" s="10" t="s">
        <v>31</v>
      </c>
      <c r="B43" s="102">
        <v>1474976</v>
      </c>
      <c r="C43" s="36">
        <v>1453138</v>
      </c>
      <c r="D43" s="158">
        <v>1598087</v>
      </c>
      <c r="E43" s="102">
        <v>16</v>
      </c>
      <c r="F43" s="102"/>
      <c r="G43" s="102">
        <v>-70993</v>
      </c>
      <c r="H43" s="102">
        <f t="shared" si="5"/>
        <v>1527110</v>
      </c>
      <c r="I43" s="158">
        <v>1525919</v>
      </c>
      <c r="J43" s="45">
        <f t="shared" si="6"/>
        <v>95.48410067787299</v>
      </c>
      <c r="K43" s="44">
        <f>I43/H43*100</f>
        <v>99.92200954744584</v>
      </c>
      <c r="L43" s="72">
        <f>I43/B43*100</f>
        <v>103.45381890959582</v>
      </c>
    </row>
    <row r="44" spans="1:12" ht="12.75">
      <c r="A44" s="10" t="s">
        <v>32</v>
      </c>
      <c r="B44" s="102">
        <v>43328</v>
      </c>
      <c r="C44" s="36">
        <v>42599</v>
      </c>
      <c r="D44" s="158">
        <v>46930</v>
      </c>
      <c r="E44" s="102"/>
      <c r="F44" s="102"/>
      <c r="G44" s="102">
        <v>-2088</v>
      </c>
      <c r="H44" s="102">
        <f t="shared" si="5"/>
        <v>44842</v>
      </c>
      <c r="I44" s="158">
        <v>44842</v>
      </c>
      <c r="J44" s="45">
        <f t="shared" si="6"/>
        <v>95.55082037076497</v>
      </c>
      <c r="K44" s="44">
        <f>I44/H44*100</f>
        <v>100</v>
      </c>
      <c r="L44" s="72">
        <f>I44/B44*100</f>
        <v>103.49427621861152</v>
      </c>
    </row>
    <row r="45" spans="1:12" ht="12.75">
      <c r="A45" s="9" t="s">
        <v>49</v>
      </c>
      <c r="B45" s="102">
        <v>0</v>
      </c>
      <c r="C45" s="29"/>
      <c r="D45" s="102"/>
      <c r="E45" s="102"/>
      <c r="F45" s="102"/>
      <c r="G45" s="102"/>
      <c r="H45" s="102">
        <f t="shared" si="5"/>
        <v>0</v>
      </c>
      <c r="I45" s="102">
        <v>0</v>
      </c>
      <c r="J45" s="45"/>
      <c r="K45" s="44"/>
      <c r="L45" s="72"/>
    </row>
    <row r="46" spans="1:12" ht="12.75">
      <c r="A46" s="9" t="s">
        <v>34</v>
      </c>
      <c r="B46" s="29">
        <f aca="true" t="shared" si="8" ref="B46:G46">B48+B49+B50+B52+B56</f>
        <v>1312445</v>
      </c>
      <c r="C46" s="29">
        <f t="shared" si="8"/>
        <v>1208590</v>
      </c>
      <c r="D46" s="29">
        <f t="shared" si="8"/>
        <v>1236291</v>
      </c>
      <c r="E46" s="29">
        <f t="shared" si="8"/>
        <v>32612</v>
      </c>
      <c r="F46" s="29">
        <f t="shared" si="8"/>
        <v>400</v>
      </c>
      <c r="G46" s="29">
        <f t="shared" si="8"/>
        <v>0</v>
      </c>
      <c r="H46" s="29">
        <f t="shared" si="5"/>
        <v>1269303</v>
      </c>
      <c r="I46" s="29">
        <f>I48+I49+I50+I52+I56</f>
        <v>1194445</v>
      </c>
      <c r="J46" s="45">
        <f t="shared" si="6"/>
        <v>96.61519820171787</v>
      </c>
      <c r="K46" s="44">
        <f>I46/H46*100</f>
        <v>94.10243259489657</v>
      </c>
      <c r="L46" s="72">
        <f>I46/B46*100</f>
        <v>91.00914704997162</v>
      </c>
    </row>
    <row r="47" spans="1:12" ht="12.75">
      <c r="A47" s="7" t="s">
        <v>35</v>
      </c>
      <c r="B47" s="19"/>
      <c r="C47" s="19"/>
      <c r="D47" s="101"/>
      <c r="E47" s="101"/>
      <c r="F47" s="101"/>
      <c r="G47" s="101"/>
      <c r="H47" s="101"/>
      <c r="I47" s="101"/>
      <c r="J47" s="103"/>
      <c r="K47" s="103"/>
      <c r="L47" s="72"/>
    </row>
    <row r="48" spans="1:12" ht="12.75">
      <c r="A48" s="7" t="s">
        <v>36</v>
      </c>
      <c r="B48" s="101">
        <v>125720</v>
      </c>
      <c r="C48" s="19">
        <v>58125</v>
      </c>
      <c r="D48" s="157">
        <v>169753</v>
      </c>
      <c r="E48" s="157">
        <v>12362</v>
      </c>
      <c r="F48" s="101"/>
      <c r="G48" s="101"/>
      <c r="H48" s="101">
        <f t="shared" si="5"/>
        <v>182115</v>
      </c>
      <c r="I48" s="157">
        <v>147703</v>
      </c>
      <c r="J48" s="43">
        <f t="shared" si="6"/>
        <v>87.01053884172887</v>
      </c>
      <c r="K48" s="75">
        <f aca="true" t="shared" si="9" ref="K48:K57">I48/H48*100</f>
        <v>81.10424731625622</v>
      </c>
      <c r="L48" s="72">
        <f aca="true" t="shared" si="10" ref="L48:L60">I48/B48*100</f>
        <v>117.48568246897868</v>
      </c>
    </row>
    <row r="49" spans="1:12" ht="12.75">
      <c r="A49" s="7" t="s">
        <v>37</v>
      </c>
      <c r="B49" s="101">
        <v>210969</v>
      </c>
      <c r="C49" s="19">
        <v>212991</v>
      </c>
      <c r="D49" s="157">
        <v>195034</v>
      </c>
      <c r="E49" s="157">
        <v>11504</v>
      </c>
      <c r="F49" s="101"/>
      <c r="G49" s="101"/>
      <c r="H49" s="101">
        <f t="shared" si="5"/>
        <v>206538</v>
      </c>
      <c r="I49" s="157">
        <v>206037</v>
      </c>
      <c r="J49" s="43">
        <f t="shared" si="6"/>
        <v>105.64158044238441</v>
      </c>
      <c r="K49" s="75">
        <f t="shared" si="9"/>
        <v>99.75742962554106</v>
      </c>
      <c r="L49" s="72">
        <f t="shared" si="10"/>
        <v>97.66221577577748</v>
      </c>
    </row>
    <row r="50" spans="1:12" ht="12.75">
      <c r="A50" s="7" t="s">
        <v>38</v>
      </c>
      <c r="B50" s="101">
        <v>763202</v>
      </c>
      <c r="C50" s="19">
        <v>740836</v>
      </c>
      <c r="D50" s="157">
        <v>667743</v>
      </c>
      <c r="E50" s="157">
        <v>3881</v>
      </c>
      <c r="F50" s="101"/>
      <c r="G50" s="101"/>
      <c r="H50" s="101">
        <f t="shared" si="5"/>
        <v>671624</v>
      </c>
      <c r="I50" s="157">
        <v>659530</v>
      </c>
      <c r="J50" s="43">
        <f t="shared" si="6"/>
        <v>98.77003577723765</v>
      </c>
      <c r="K50" s="75">
        <f t="shared" si="9"/>
        <v>98.19929007897275</v>
      </c>
      <c r="L50" s="72">
        <f t="shared" si="10"/>
        <v>86.41617815466941</v>
      </c>
    </row>
    <row r="51" spans="1:12" ht="12.75">
      <c r="A51" s="7" t="s">
        <v>39</v>
      </c>
      <c r="B51" s="101">
        <v>141065</v>
      </c>
      <c r="C51" s="19">
        <f>109842+30</f>
        <v>109872</v>
      </c>
      <c r="D51" s="157">
        <v>131387</v>
      </c>
      <c r="E51" s="157">
        <v>5</v>
      </c>
      <c r="F51" s="101"/>
      <c r="G51" s="101"/>
      <c r="H51" s="101">
        <f t="shared" si="5"/>
        <v>131392</v>
      </c>
      <c r="I51" s="157">
        <v>131374</v>
      </c>
      <c r="J51" s="43">
        <f t="shared" si="6"/>
        <v>99.99010556599967</v>
      </c>
      <c r="K51" s="75">
        <f t="shared" si="9"/>
        <v>99.98630053580126</v>
      </c>
      <c r="L51" s="72">
        <f t="shared" si="10"/>
        <v>93.130117321802</v>
      </c>
    </row>
    <row r="52" spans="1:12" ht="12.75">
      <c r="A52" s="7" t="s">
        <v>40</v>
      </c>
      <c r="B52" s="101">
        <v>181356</v>
      </c>
      <c r="C52" s="19">
        <v>153173</v>
      </c>
      <c r="D52" s="157">
        <v>167628</v>
      </c>
      <c r="E52" s="157">
        <v>4783</v>
      </c>
      <c r="F52" s="157">
        <v>400</v>
      </c>
      <c r="G52" s="101"/>
      <c r="H52" s="101">
        <f t="shared" si="5"/>
        <v>172811</v>
      </c>
      <c r="I52" s="157">
        <v>147571</v>
      </c>
      <c r="J52" s="43">
        <f t="shared" si="6"/>
        <v>88.03481518600711</v>
      </c>
      <c r="K52" s="75">
        <f t="shared" si="9"/>
        <v>85.3944482700754</v>
      </c>
      <c r="L52" s="72">
        <f t="shared" si="10"/>
        <v>81.37089481461877</v>
      </c>
    </row>
    <row r="53" spans="1:12" ht="12.75">
      <c r="A53" s="7" t="s">
        <v>41</v>
      </c>
      <c r="B53" s="101">
        <v>155869</v>
      </c>
      <c r="C53" s="19">
        <v>128240</v>
      </c>
      <c r="D53" s="157">
        <v>139976</v>
      </c>
      <c r="E53" s="157">
        <v>4275</v>
      </c>
      <c r="F53" s="157">
        <v>400</v>
      </c>
      <c r="G53" s="101"/>
      <c r="H53" s="101">
        <f t="shared" si="5"/>
        <v>144651</v>
      </c>
      <c r="I53" s="157">
        <v>120668</v>
      </c>
      <c r="J53" s="43">
        <f t="shared" si="6"/>
        <v>86.20620677830485</v>
      </c>
      <c r="K53" s="75">
        <f t="shared" si="9"/>
        <v>83.42009388113459</v>
      </c>
      <c r="L53" s="72">
        <f t="shared" si="10"/>
        <v>77.41629188613514</v>
      </c>
    </row>
    <row r="54" spans="1:12" ht="12.75">
      <c r="A54" s="7" t="s">
        <v>42</v>
      </c>
      <c r="B54" s="101">
        <v>365</v>
      </c>
      <c r="C54" s="19">
        <v>600</v>
      </c>
      <c r="D54" s="157">
        <v>800</v>
      </c>
      <c r="E54" s="157">
        <v>8</v>
      </c>
      <c r="F54" s="101"/>
      <c r="G54" s="101"/>
      <c r="H54" s="101">
        <f t="shared" si="5"/>
        <v>808</v>
      </c>
      <c r="I54" s="157">
        <v>739</v>
      </c>
      <c r="J54" s="43">
        <f t="shared" si="6"/>
        <v>92.375</v>
      </c>
      <c r="K54" s="75">
        <f t="shared" si="9"/>
        <v>91.46039603960396</v>
      </c>
      <c r="L54" s="72">
        <f t="shared" si="10"/>
        <v>202.46575342465752</v>
      </c>
    </row>
    <row r="55" spans="1:12" ht="12.75">
      <c r="A55" s="7" t="s">
        <v>43</v>
      </c>
      <c r="B55" s="101">
        <v>23727</v>
      </c>
      <c r="C55" s="19">
        <v>22343</v>
      </c>
      <c r="D55" s="157">
        <v>23101</v>
      </c>
      <c r="E55" s="157">
        <v>500</v>
      </c>
      <c r="F55" s="101"/>
      <c r="G55" s="101"/>
      <c r="H55" s="101">
        <f t="shared" si="5"/>
        <v>23601</v>
      </c>
      <c r="I55" s="157">
        <v>22691</v>
      </c>
      <c r="J55" s="43">
        <f t="shared" si="6"/>
        <v>98.22518505692395</v>
      </c>
      <c r="K55" s="75">
        <f t="shared" si="9"/>
        <v>96.14423117664505</v>
      </c>
      <c r="L55" s="72">
        <f t="shared" si="10"/>
        <v>95.63366628735196</v>
      </c>
    </row>
    <row r="56" spans="1:12" ht="13.5" thickBot="1">
      <c r="A56" s="15" t="s">
        <v>44</v>
      </c>
      <c r="B56" s="30">
        <v>31198</v>
      </c>
      <c r="C56" s="30">
        <v>43465</v>
      </c>
      <c r="D56" s="159">
        <v>36133</v>
      </c>
      <c r="E56" s="159">
        <v>82</v>
      </c>
      <c r="F56" s="30"/>
      <c r="G56" s="30"/>
      <c r="H56" s="30">
        <f t="shared" si="5"/>
        <v>36215</v>
      </c>
      <c r="I56" s="159">
        <v>33604</v>
      </c>
      <c r="J56" s="46">
        <f t="shared" si="6"/>
        <v>93.00085794149393</v>
      </c>
      <c r="K56" s="104">
        <f t="shared" si="9"/>
        <v>92.7902802706061</v>
      </c>
      <c r="L56" s="105">
        <f t="shared" si="10"/>
        <v>107.71203282261683</v>
      </c>
    </row>
    <row r="57" spans="1:12" ht="12.75">
      <c r="A57" s="7" t="s">
        <v>45</v>
      </c>
      <c r="B57" s="19">
        <v>14677</v>
      </c>
      <c r="C57" s="19">
        <v>15268</v>
      </c>
      <c r="D57" s="153">
        <v>15248</v>
      </c>
      <c r="E57" s="19"/>
      <c r="F57" s="19"/>
      <c r="G57" s="19"/>
      <c r="H57" s="19">
        <f>D57+E57+F57</f>
        <v>15248</v>
      </c>
      <c r="I57" s="153">
        <v>14710</v>
      </c>
      <c r="J57" s="43">
        <f t="shared" si="6"/>
        <v>96.4716684155299</v>
      </c>
      <c r="K57" s="75">
        <f t="shared" si="9"/>
        <v>96.4716684155299</v>
      </c>
      <c r="L57" s="72">
        <f t="shared" si="10"/>
        <v>100.22484158888057</v>
      </c>
    </row>
    <row r="58" spans="1:12" ht="12.75" hidden="1">
      <c r="A58" s="7" t="s">
        <v>87</v>
      </c>
      <c r="B58" s="19"/>
      <c r="C58" s="19"/>
      <c r="D58" s="101"/>
      <c r="E58" s="19"/>
      <c r="F58" s="19"/>
      <c r="G58" s="19"/>
      <c r="H58" s="19">
        <f>D58+E58+F58</f>
        <v>0</v>
      </c>
      <c r="I58" s="19"/>
      <c r="J58" s="43" t="e">
        <f t="shared" si="6"/>
        <v>#DIV/0!</v>
      </c>
      <c r="K58" s="75">
        <v>0</v>
      </c>
      <c r="L58" s="72" t="e">
        <f t="shared" si="10"/>
        <v>#DIV/0!</v>
      </c>
    </row>
    <row r="59" spans="1:12" ht="12.75">
      <c r="A59" s="7" t="s">
        <v>46</v>
      </c>
      <c r="B59" s="19">
        <f>B41/B57/12*1000</f>
        <v>24600.690422656764</v>
      </c>
      <c r="C59" s="19">
        <f>C41/C57/12*1000</f>
        <v>23250.982446947863</v>
      </c>
      <c r="D59" s="19">
        <f>D41/D57/12*1000</f>
        <v>25644.75668940189</v>
      </c>
      <c r="E59" s="19"/>
      <c r="F59" s="19"/>
      <c r="G59" s="19"/>
      <c r="H59" s="19">
        <f>H41/H57/12*1000</f>
        <v>24507.815232598812</v>
      </c>
      <c r="I59" s="19">
        <f>I41/I57/12*1000</f>
        <v>25403.523680036258</v>
      </c>
      <c r="J59" s="43">
        <f t="shared" si="6"/>
        <v>99.05932814147023</v>
      </c>
      <c r="K59" s="75">
        <f>I59/H59*100</f>
        <v>103.65478700951698</v>
      </c>
      <c r="L59" s="72">
        <f t="shared" si="10"/>
        <v>103.26345823465223</v>
      </c>
    </row>
    <row r="60" spans="1:12" ht="13.5" thickBot="1">
      <c r="A60" s="5" t="s">
        <v>47</v>
      </c>
      <c r="B60" s="111">
        <f>B46/B57*1000</f>
        <v>89421.88458131772</v>
      </c>
      <c r="C60" s="31">
        <f>C46/C57*1000</f>
        <v>79158.37044799581</v>
      </c>
      <c r="D60" s="31">
        <f>D46/D57*1000</f>
        <v>81078.89559286465</v>
      </c>
      <c r="E60" s="31"/>
      <c r="F60" s="31"/>
      <c r="G60" s="31"/>
      <c r="H60" s="31">
        <f>H46/H57*1000</f>
        <v>83243.90083945435</v>
      </c>
      <c r="I60" s="31">
        <f>I46/I57*1000</f>
        <v>81199.5241332427</v>
      </c>
      <c r="J60" s="81">
        <f t="shared" si="6"/>
        <v>100.1487792100472</v>
      </c>
      <c r="K60" s="106">
        <f>I60/H60*100</f>
        <v>97.54411231862564</v>
      </c>
      <c r="L60" s="83">
        <f t="shared" si="10"/>
        <v>90.80497969085202</v>
      </c>
    </row>
    <row r="61" spans="2:12" ht="12.75">
      <c r="B61" s="38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ht="12.75">
      <c r="A62" s="1" t="s">
        <v>62</v>
      </c>
    </row>
    <row r="63" spans="1:2" ht="12.75">
      <c r="A63" s="35" t="s">
        <v>73</v>
      </c>
      <c r="B63" s="26"/>
    </row>
    <row r="64" ht="12.75">
      <c r="A64" s="35" t="s">
        <v>67</v>
      </c>
    </row>
    <row r="65" ht="12.75">
      <c r="A65" s="35" t="s">
        <v>74</v>
      </c>
    </row>
    <row r="66" ht="12.75">
      <c r="A66" s="1" t="s">
        <v>69</v>
      </c>
    </row>
    <row r="67" ht="12.75">
      <c r="A67" s="1" t="s">
        <v>72</v>
      </c>
    </row>
    <row r="68" spans="1:11" ht="12.75">
      <c r="A68" s="180" t="s">
        <v>68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</sheetData>
  <sheetProtection/>
  <mergeCells count="1">
    <mergeCell ref="A68:K68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1" ySplit="8" topLeftCell="B9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N33" sqref="N33"/>
    </sheetView>
  </sheetViews>
  <sheetFormatPr defaultColWidth="9.125" defaultRowHeight="12.75"/>
  <cols>
    <col min="1" max="1" width="33.125" style="1" customWidth="1"/>
    <col min="2" max="2" width="10.125" style="14" customWidth="1"/>
    <col min="3" max="3" width="9.25390625" style="1" customWidth="1"/>
    <col min="4" max="4" width="9.75390625" style="1" customWidth="1"/>
    <col min="5" max="5" width="10.625" style="1" customWidth="1"/>
    <col min="6" max="6" width="9.125" style="1" customWidth="1"/>
    <col min="7" max="7" width="11.125" style="1" customWidth="1"/>
    <col min="8" max="8" width="10.125" style="1" customWidth="1"/>
    <col min="9" max="10" width="10.00390625" style="1" customWidth="1"/>
    <col min="11" max="11" width="8.00390625" style="1" customWidth="1"/>
    <col min="12" max="12" width="8.375" style="1" customWidth="1"/>
    <col min="13" max="16384" width="9.125" style="1" customWidth="1"/>
  </cols>
  <sheetData>
    <row r="1" spans="1:11" ht="18.75">
      <c r="A1" s="179" t="s">
        <v>50</v>
      </c>
      <c r="B1" s="13"/>
      <c r="K1" s="176" t="s">
        <v>93</v>
      </c>
    </row>
    <row r="2" ht="12.75">
      <c r="A2" s="1" t="s">
        <v>90</v>
      </c>
    </row>
    <row r="3" spans="9:12" ht="13.5" thickBot="1">
      <c r="I3" s="2"/>
      <c r="J3" s="2"/>
      <c r="L3" s="12"/>
    </row>
    <row r="4" spans="1:12" ht="12.75">
      <c r="A4" s="3"/>
      <c r="B4" s="161">
        <v>2011</v>
      </c>
      <c r="C4" s="52"/>
      <c r="D4" s="52">
        <v>2012</v>
      </c>
      <c r="E4" s="52"/>
      <c r="F4" s="52"/>
      <c r="G4" s="52"/>
      <c r="H4" s="52"/>
      <c r="I4" s="52"/>
      <c r="J4" s="52"/>
      <c r="K4" s="53"/>
      <c r="L4" s="54" t="s">
        <v>82</v>
      </c>
    </row>
    <row r="5" spans="1:12" ht="12.75">
      <c r="A5" s="4" t="s">
        <v>0</v>
      </c>
      <c r="B5" s="32" t="s">
        <v>1</v>
      </c>
      <c r="C5" s="55" t="s">
        <v>89</v>
      </c>
      <c r="D5" s="56"/>
      <c r="E5" s="57"/>
      <c r="F5" s="57"/>
      <c r="G5" s="57"/>
      <c r="H5" s="57"/>
      <c r="I5" s="58" t="s">
        <v>1</v>
      </c>
      <c r="J5" s="58" t="s">
        <v>2</v>
      </c>
      <c r="K5" s="58" t="s">
        <v>2</v>
      </c>
      <c r="L5" s="54" t="s">
        <v>3</v>
      </c>
    </row>
    <row r="6" spans="1:12" ht="13.5" thickBot="1">
      <c r="A6" s="5"/>
      <c r="B6" s="59" t="s">
        <v>88</v>
      </c>
      <c r="C6" s="60" t="s">
        <v>4</v>
      </c>
      <c r="D6" s="60" t="s">
        <v>63</v>
      </c>
      <c r="E6" s="61" t="s">
        <v>60</v>
      </c>
      <c r="F6" s="61" t="s">
        <v>61</v>
      </c>
      <c r="G6" s="61" t="s">
        <v>83</v>
      </c>
      <c r="H6" s="61" t="s">
        <v>65</v>
      </c>
      <c r="I6" s="59" t="s">
        <v>88</v>
      </c>
      <c r="J6" s="60" t="s">
        <v>80</v>
      </c>
      <c r="K6" s="60" t="s">
        <v>66</v>
      </c>
      <c r="L6" s="164" t="s">
        <v>5</v>
      </c>
    </row>
    <row r="7" spans="1:12" ht="13.5" thickBot="1">
      <c r="A7" s="5" t="s">
        <v>6</v>
      </c>
      <c r="B7" s="3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3" t="s">
        <v>84</v>
      </c>
      <c r="K7" s="33" t="s">
        <v>85</v>
      </c>
      <c r="L7" s="63" t="s">
        <v>86</v>
      </c>
    </row>
    <row r="8" spans="1:13" ht="12.75">
      <c r="A8" s="8" t="s">
        <v>7</v>
      </c>
      <c r="B8" s="134">
        <f>SUM(B10:B28)-B12</f>
        <v>1681131</v>
      </c>
      <c r="C8" s="27">
        <f>SUM(C10:C28)-C12</f>
        <v>1440365</v>
      </c>
      <c r="D8" s="122">
        <f>SUM(D10:D28)-D12</f>
        <v>1439056</v>
      </c>
      <c r="E8" s="135" t="s">
        <v>64</v>
      </c>
      <c r="F8" s="122">
        <f>SUM(F10:F28)</f>
        <v>7180</v>
      </c>
      <c r="G8" s="135" t="s">
        <v>64</v>
      </c>
      <c r="H8" s="122">
        <f>D8+F8</f>
        <v>1446236</v>
      </c>
      <c r="I8" s="151">
        <f>I10+I11+I13+I14+I15+I16+I17+I18+I19+I20+I21+I22+I23+I25+I26+I27+I28</f>
        <v>1277229</v>
      </c>
      <c r="J8" s="152">
        <f aca="true" t="shared" si="0" ref="J8:J30">I8/D8*100</f>
        <v>88.75464193193315</v>
      </c>
      <c r="K8" s="87">
        <f>I8/H8*100</f>
        <v>88.31400960839034</v>
      </c>
      <c r="L8" s="68">
        <f>I8/B8*100</f>
        <v>75.97438867048434</v>
      </c>
      <c r="M8" s="14"/>
    </row>
    <row r="9" spans="1:14" ht="12.75">
      <c r="A9" s="7" t="s">
        <v>8</v>
      </c>
      <c r="B9" s="19"/>
      <c r="C9" s="19"/>
      <c r="D9" s="19"/>
      <c r="E9" s="73"/>
      <c r="F9" s="19"/>
      <c r="G9" s="73"/>
      <c r="H9" s="19"/>
      <c r="I9" s="47"/>
      <c r="J9" s="19"/>
      <c r="K9" s="43"/>
      <c r="L9" s="72"/>
      <c r="N9" s="14"/>
    </row>
    <row r="10" spans="1:12" ht="12.75">
      <c r="A10" s="21" t="s">
        <v>58</v>
      </c>
      <c r="B10" s="19">
        <v>7676</v>
      </c>
      <c r="C10" s="19">
        <v>2450</v>
      </c>
      <c r="D10" s="19">
        <v>2450</v>
      </c>
      <c r="E10" s="73" t="s">
        <v>64</v>
      </c>
      <c r="F10" s="19"/>
      <c r="G10" s="73" t="s">
        <v>64</v>
      </c>
      <c r="H10" s="19">
        <f aca="true" t="shared" si="1" ref="H10:H28">D10+F10</f>
        <v>2450</v>
      </c>
      <c r="I10" s="19">
        <v>4108</v>
      </c>
      <c r="J10" s="43">
        <f t="shared" si="0"/>
        <v>167.6734693877551</v>
      </c>
      <c r="K10" s="43">
        <f>I10/H10*100</f>
        <v>167.6734693877551</v>
      </c>
      <c r="L10" s="72"/>
    </row>
    <row r="11" spans="1:12" ht="12.75">
      <c r="A11" s="21" t="s">
        <v>9</v>
      </c>
      <c r="B11" s="19">
        <v>541314</v>
      </c>
      <c r="C11" s="19">
        <v>522779</v>
      </c>
      <c r="D11" s="19">
        <v>521470</v>
      </c>
      <c r="E11" s="73" t="s">
        <v>64</v>
      </c>
      <c r="F11" s="19"/>
      <c r="G11" s="73" t="s">
        <v>64</v>
      </c>
      <c r="H11" s="19">
        <f t="shared" si="1"/>
        <v>521470</v>
      </c>
      <c r="I11" s="19">
        <v>512004</v>
      </c>
      <c r="J11" s="43">
        <f t="shared" si="0"/>
        <v>98.18474696530961</v>
      </c>
      <c r="K11" s="43">
        <f>I11/H11*100</f>
        <v>98.18474696530961</v>
      </c>
      <c r="L11" s="72">
        <f aca="true" t="shared" si="2" ref="L11:L28">I11/B11*100</f>
        <v>94.5853977543533</v>
      </c>
    </row>
    <row r="12" spans="1:14" ht="12.75">
      <c r="A12" s="21" t="s">
        <v>10</v>
      </c>
      <c r="B12" s="19">
        <v>481171</v>
      </c>
      <c r="C12" s="19">
        <v>464692</v>
      </c>
      <c r="D12" s="19">
        <v>463529</v>
      </c>
      <c r="E12" s="73" t="s">
        <v>64</v>
      </c>
      <c r="F12" s="19"/>
      <c r="G12" s="73" t="s">
        <v>64</v>
      </c>
      <c r="H12" s="19">
        <f t="shared" si="1"/>
        <v>463529</v>
      </c>
      <c r="I12" s="19">
        <v>455117</v>
      </c>
      <c r="J12" s="43">
        <f t="shared" si="0"/>
        <v>98.18522681428777</v>
      </c>
      <c r="K12" s="43">
        <f>I12/H12*100</f>
        <v>98.18522681428777</v>
      </c>
      <c r="L12" s="72">
        <f t="shared" si="2"/>
        <v>94.5852929623772</v>
      </c>
      <c r="N12" s="14"/>
    </row>
    <row r="13" spans="1:12" ht="12.75">
      <c r="A13" s="7" t="s">
        <v>11</v>
      </c>
      <c r="B13" s="19">
        <v>49081</v>
      </c>
      <c r="C13" s="19">
        <v>49450</v>
      </c>
      <c r="D13" s="19">
        <v>49450</v>
      </c>
      <c r="E13" s="73" t="s">
        <v>64</v>
      </c>
      <c r="F13" s="19"/>
      <c r="G13" s="73" t="s">
        <v>64</v>
      </c>
      <c r="H13" s="19">
        <f t="shared" si="1"/>
        <v>49450</v>
      </c>
      <c r="I13" s="19">
        <v>55889</v>
      </c>
      <c r="J13" s="43">
        <f t="shared" si="0"/>
        <v>113.02123356926188</v>
      </c>
      <c r="K13" s="43">
        <f>I13/H13*100</f>
        <v>113.02123356926188</v>
      </c>
      <c r="L13" s="72">
        <f t="shared" si="2"/>
        <v>113.87094802469386</v>
      </c>
    </row>
    <row r="14" spans="1:12" ht="12.75">
      <c r="A14" s="17" t="s">
        <v>54</v>
      </c>
      <c r="B14" s="19"/>
      <c r="C14" s="19"/>
      <c r="D14" s="19"/>
      <c r="E14" s="73" t="s">
        <v>64</v>
      </c>
      <c r="F14" s="19"/>
      <c r="G14" s="73" t="s">
        <v>64</v>
      </c>
      <c r="H14" s="19">
        <f t="shared" si="1"/>
        <v>0</v>
      </c>
      <c r="I14" s="19"/>
      <c r="J14" s="43"/>
      <c r="K14" s="43"/>
      <c r="L14" s="72"/>
    </row>
    <row r="15" spans="1:12" ht="12.75">
      <c r="A15" s="7" t="s">
        <v>12</v>
      </c>
      <c r="B15" s="19">
        <v>6737</v>
      </c>
      <c r="C15" s="19">
        <v>6700</v>
      </c>
      <c r="D15" s="19">
        <v>6700</v>
      </c>
      <c r="E15" s="73" t="s">
        <v>64</v>
      </c>
      <c r="F15" s="19"/>
      <c r="G15" s="73" t="s">
        <v>64</v>
      </c>
      <c r="H15" s="19">
        <f t="shared" si="1"/>
        <v>6700</v>
      </c>
      <c r="I15" s="19">
        <v>3304</v>
      </c>
      <c r="J15" s="43">
        <f t="shared" si="0"/>
        <v>49.3134328358209</v>
      </c>
      <c r="K15" s="43">
        <f>I15/H15*100</f>
        <v>49.3134328358209</v>
      </c>
      <c r="L15" s="72">
        <f t="shared" si="2"/>
        <v>49.04260056404928</v>
      </c>
    </row>
    <row r="16" spans="1:12" ht="12.75">
      <c r="A16" s="7" t="s">
        <v>13</v>
      </c>
      <c r="B16" s="19">
        <v>1407</v>
      </c>
      <c r="C16" s="19">
        <v>1500</v>
      </c>
      <c r="D16" s="19">
        <v>1500</v>
      </c>
      <c r="E16" s="73" t="s">
        <v>64</v>
      </c>
      <c r="F16" s="19"/>
      <c r="G16" s="73" t="s">
        <v>64</v>
      </c>
      <c r="H16" s="19">
        <f t="shared" si="1"/>
        <v>1500</v>
      </c>
      <c r="I16" s="19">
        <v>1679</v>
      </c>
      <c r="J16" s="43">
        <f t="shared" si="0"/>
        <v>111.93333333333332</v>
      </c>
      <c r="K16" s="43">
        <f>I16/H16*100</f>
        <v>111.93333333333332</v>
      </c>
      <c r="L16" s="72">
        <f t="shared" si="2"/>
        <v>119.3319118692253</v>
      </c>
    </row>
    <row r="17" spans="1:12" ht="12.75">
      <c r="A17" s="7" t="s">
        <v>14</v>
      </c>
      <c r="B17" s="19">
        <v>941783</v>
      </c>
      <c r="C17" s="19">
        <v>778200</v>
      </c>
      <c r="D17" s="19">
        <v>778200</v>
      </c>
      <c r="E17" s="73" t="s">
        <v>64</v>
      </c>
      <c r="F17" s="19"/>
      <c r="G17" s="73" t="s">
        <v>64</v>
      </c>
      <c r="H17" s="19">
        <f t="shared" si="1"/>
        <v>778200</v>
      </c>
      <c r="I17" s="19">
        <v>586663</v>
      </c>
      <c r="J17" s="43">
        <f t="shared" si="0"/>
        <v>75.38717553328193</v>
      </c>
      <c r="K17" s="43">
        <f>I17/H17*100</f>
        <v>75.38717553328193</v>
      </c>
      <c r="L17" s="72">
        <f t="shared" si="2"/>
        <v>62.29279993374271</v>
      </c>
    </row>
    <row r="18" spans="1:12" ht="12.75">
      <c r="A18" s="7" t="s">
        <v>15</v>
      </c>
      <c r="B18" s="19">
        <v>16</v>
      </c>
      <c r="C18" s="19">
        <v>0</v>
      </c>
      <c r="D18" s="19"/>
      <c r="E18" s="73" t="s">
        <v>64</v>
      </c>
      <c r="F18" s="19"/>
      <c r="G18" s="73" t="s">
        <v>64</v>
      </c>
      <c r="H18" s="19">
        <f t="shared" si="1"/>
        <v>0</v>
      </c>
      <c r="I18" s="19">
        <v>71</v>
      </c>
      <c r="J18" s="43" t="e">
        <f t="shared" si="0"/>
        <v>#DIV/0!</v>
      </c>
      <c r="K18" s="43">
        <v>0</v>
      </c>
      <c r="L18" s="72">
        <f t="shared" si="2"/>
        <v>443.75</v>
      </c>
    </row>
    <row r="19" spans="1:12" ht="12.75">
      <c r="A19" s="7" t="s">
        <v>16</v>
      </c>
      <c r="B19" s="19">
        <v>33887</v>
      </c>
      <c r="C19" s="19">
        <v>7030</v>
      </c>
      <c r="D19" s="19">
        <v>7030</v>
      </c>
      <c r="E19" s="73" t="s">
        <v>64</v>
      </c>
      <c r="F19" s="19"/>
      <c r="G19" s="73" t="s">
        <v>64</v>
      </c>
      <c r="H19" s="19">
        <f t="shared" si="1"/>
        <v>7030</v>
      </c>
      <c r="I19" s="19">
        <v>12310</v>
      </c>
      <c r="J19" s="43">
        <f t="shared" si="0"/>
        <v>175.10668563300143</v>
      </c>
      <c r="K19" s="43">
        <f>I19/H19*100</f>
        <v>175.10668563300143</v>
      </c>
      <c r="L19" s="72">
        <f t="shared" si="2"/>
        <v>36.32661492607785</v>
      </c>
    </row>
    <row r="20" spans="1:12" ht="12.75">
      <c r="A20" s="7" t="s">
        <v>59</v>
      </c>
      <c r="B20" s="19">
        <v>8590</v>
      </c>
      <c r="C20" s="19">
        <v>7450</v>
      </c>
      <c r="D20" s="19">
        <v>7450</v>
      </c>
      <c r="E20" s="73" t="s">
        <v>64</v>
      </c>
      <c r="F20" s="19"/>
      <c r="G20" s="73" t="s">
        <v>64</v>
      </c>
      <c r="H20" s="19">
        <f t="shared" si="1"/>
        <v>7450</v>
      </c>
      <c r="I20" s="19">
        <v>8569</v>
      </c>
      <c r="J20" s="43">
        <f t="shared" si="0"/>
        <v>115.02013422818791</v>
      </c>
      <c r="K20" s="43">
        <f>I20/H20*100</f>
        <v>115.02013422818791</v>
      </c>
      <c r="L20" s="72">
        <f t="shared" si="2"/>
        <v>99.75552968568103</v>
      </c>
    </row>
    <row r="21" spans="1:12" ht="12.75">
      <c r="A21" s="18" t="s">
        <v>55</v>
      </c>
      <c r="B21" s="19"/>
      <c r="C21" s="19"/>
      <c r="D21" s="19"/>
      <c r="E21" s="73" t="s">
        <v>64</v>
      </c>
      <c r="F21" s="19"/>
      <c r="G21" s="73" t="s">
        <v>64</v>
      </c>
      <c r="H21" s="19"/>
      <c r="I21" s="19"/>
      <c r="J21" s="43"/>
      <c r="K21" s="43"/>
      <c r="L21" s="72"/>
    </row>
    <row r="22" spans="1:12" ht="12.75">
      <c r="A22" s="7" t="s">
        <v>17</v>
      </c>
      <c r="B22" s="19">
        <v>42711</v>
      </c>
      <c r="C22" s="19">
        <v>6700</v>
      </c>
      <c r="D22" s="19">
        <v>6700</v>
      </c>
      <c r="E22" s="73" t="s">
        <v>64</v>
      </c>
      <c r="F22" s="19"/>
      <c r="G22" s="73" t="s">
        <v>64</v>
      </c>
      <c r="H22" s="19">
        <f t="shared" si="1"/>
        <v>6700</v>
      </c>
      <c r="I22" s="19">
        <v>16024</v>
      </c>
      <c r="J22" s="43">
        <f t="shared" si="0"/>
        <v>239.16417910447763</v>
      </c>
      <c r="K22" s="43">
        <f>I22/H22*100</f>
        <v>239.16417910447763</v>
      </c>
      <c r="L22" s="72">
        <f t="shared" si="2"/>
        <v>37.5172672145349</v>
      </c>
    </row>
    <row r="23" spans="1:12" ht="12.75">
      <c r="A23" s="18" t="s">
        <v>56</v>
      </c>
      <c r="B23" s="19"/>
      <c r="C23" s="19"/>
      <c r="D23" s="19"/>
      <c r="E23" s="73" t="s">
        <v>64</v>
      </c>
      <c r="F23" s="19"/>
      <c r="G23" s="73" t="s">
        <v>64</v>
      </c>
      <c r="H23" s="19">
        <f t="shared" si="1"/>
        <v>0</v>
      </c>
      <c r="I23" s="19"/>
      <c r="J23" s="43"/>
      <c r="K23" s="43">
        <v>0</v>
      </c>
      <c r="L23" s="72">
        <v>0</v>
      </c>
    </row>
    <row r="24" spans="1:12" ht="12.75" customHeight="1">
      <c r="A24" s="7" t="s">
        <v>18</v>
      </c>
      <c r="B24" s="19"/>
      <c r="C24" s="19"/>
      <c r="D24" s="19"/>
      <c r="E24" s="73" t="s">
        <v>64</v>
      </c>
      <c r="F24" s="19"/>
      <c r="G24" s="73" t="s">
        <v>64</v>
      </c>
      <c r="H24" s="19">
        <f t="shared" si="1"/>
        <v>0</v>
      </c>
      <c r="I24" s="19"/>
      <c r="J24" s="43"/>
      <c r="K24" s="43">
        <v>0</v>
      </c>
      <c r="L24" s="72">
        <v>0</v>
      </c>
    </row>
    <row r="25" spans="1:12" ht="12.75" customHeight="1">
      <c r="A25" s="7" t="s">
        <v>78</v>
      </c>
      <c r="B25" s="19">
        <v>0</v>
      </c>
      <c r="C25" s="34">
        <v>12111</v>
      </c>
      <c r="D25" s="19">
        <v>12111</v>
      </c>
      <c r="E25" s="73" t="s">
        <v>64</v>
      </c>
      <c r="F25" s="19"/>
      <c r="G25" s="73" t="s">
        <v>64</v>
      </c>
      <c r="H25" s="19">
        <f t="shared" si="1"/>
        <v>12111</v>
      </c>
      <c r="I25" s="19">
        <v>0</v>
      </c>
      <c r="J25" s="43">
        <f t="shared" si="0"/>
        <v>0</v>
      </c>
      <c r="K25" s="43">
        <f>I25/H25*100</f>
        <v>0</v>
      </c>
      <c r="L25" s="72">
        <v>0</v>
      </c>
    </row>
    <row r="26" spans="1:12" ht="12.75" customHeight="1">
      <c r="A26" s="7" t="s">
        <v>57</v>
      </c>
      <c r="B26" s="19">
        <v>37589</v>
      </c>
      <c r="C26" s="34">
        <v>15357</v>
      </c>
      <c r="D26" s="19">
        <v>15357</v>
      </c>
      <c r="E26" s="73" t="s">
        <v>64</v>
      </c>
      <c r="F26" s="19"/>
      <c r="G26" s="73" t="s">
        <v>64</v>
      </c>
      <c r="H26" s="19">
        <f t="shared" si="1"/>
        <v>15357</v>
      </c>
      <c r="I26" s="19">
        <v>65938</v>
      </c>
      <c r="J26" s="43">
        <f t="shared" si="0"/>
        <v>429.3677150485121</v>
      </c>
      <c r="K26" s="43">
        <f>I26/H26*100</f>
        <v>429.3677150485121</v>
      </c>
      <c r="L26" s="72">
        <v>0</v>
      </c>
    </row>
    <row r="27" spans="1:12" ht="12.75" customHeight="1">
      <c r="A27" s="21" t="s">
        <v>79</v>
      </c>
      <c r="B27" s="34">
        <v>0</v>
      </c>
      <c r="C27" s="34">
        <v>30638</v>
      </c>
      <c r="D27" s="34">
        <v>30638</v>
      </c>
      <c r="E27" s="73" t="s">
        <v>64</v>
      </c>
      <c r="F27" s="34"/>
      <c r="G27" s="73" t="s">
        <v>64</v>
      </c>
      <c r="H27" s="34">
        <f t="shared" si="1"/>
        <v>30638</v>
      </c>
      <c r="I27" s="34">
        <v>0</v>
      </c>
      <c r="J27" s="77">
        <f t="shared" si="0"/>
        <v>0</v>
      </c>
      <c r="K27" s="77">
        <f>I27/H27*100</f>
        <v>0</v>
      </c>
      <c r="L27" s="79">
        <v>0</v>
      </c>
    </row>
    <row r="28" spans="1:12" ht="13.5" thickBot="1">
      <c r="A28" s="110" t="s">
        <v>19</v>
      </c>
      <c r="B28" s="31">
        <v>10340</v>
      </c>
      <c r="C28" s="31"/>
      <c r="D28" s="31"/>
      <c r="E28" s="33" t="s">
        <v>64</v>
      </c>
      <c r="F28" s="31">
        <v>7180</v>
      </c>
      <c r="G28" s="33" t="s">
        <v>64</v>
      </c>
      <c r="H28" s="31">
        <f t="shared" si="1"/>
        <v>7180</v>
      </c>
      <c r="I28" s="31">
        <v>10670</v>
      </c>
      <c r="J28" s="81"/>
      <c r="K28" s="81">
        <f>I28/H28*100</f>
        <v>148.60724233983288</v>
      </c>
      <c r="L28" s="83">
        <f t="shared" si="2"/>
        <v>103.19148936170212</v>
      </c>
    </row>
    <row r="29" spans="1:12" ht="12.75">
      <c r="A29" s="4"/>
      <c r="B29" s="28"/>
      <c r="C29" s="28"/>
      <c r="D29" s="28"/>
      <c r="E29" s="28"/>
      <c r="F29" s="28"/>
      <c r="G29" s="28"/>
      <c r="H29" s="28"/>
      <c r="I29" s="28"/>
      <c r="J29" s="28"/>
      <c r="K29" s="124"/>
      <c r="L29" s="86"/>
    </row>
    <row r="30" spans="1:12" ht="12.75">
      <c r="A30" s="6" t="s">
        <v>20</v>
      </c>
      <c r="B30" s="134">
        <f aca="true" t="shared" si="3" ref="B30:G30">B32+B38</f>
        <v>4032652</v>
      </c>
      <c r="C30" s="27">
        <f t="shared" si="3"/>
        <v>4314672</v>
      </c>
      <c r="D30" s="27">
        <f t="shared" si="3"/>
        <v>4422245</v>
      </c>
      <c r="E30" s="27">
        <f t="shared" si="3"/>
        <v>51863</v>
      </c>
      <c r="F30" s="27">
        <f t="shared" si="3"/>
        <v>20189</v>
      </c>
      <c r="G30" s="27">
        <f t="shared" si="3"/>
        <v>-141859</v>
      </c>
      <c r="H30" s="27">
        <f>D30+E30+F30+G30</f>
        <v>4352438</v>
      </c>
      <c r="I30" s="27">
        <f>I32+I38</f>
        <v>3975614</v>
      </c>
      <c r="J30" s="87">
        <f t="shared" si="0"/>
        <v>89.90035604087969</v>
      </c>
      <c r="K30" s="87">
        <f>I30/H30*100</f>
        <v>91.3422316412089</v>
      </c>
      <c r="L30" s="68">
        <f>I30/B30*100</f>
        <v>98.58559578163451</v>
      </c>
    </row>
    <row r="31" spans="1:12" ht="12.75">
      <c r="A31" s="7" t="s">
        <v>21</v>
      </c>
      <c r="B31" s="19"/>
      <c r="C31" s="19"/>
      <c r="D31" s="19"/>
      <c r="E31" s="19"/>
      <c r="F31" s="19"/>
      <c r="G31" s="19"/>
      <c r="H31" s="19"/>
      <c r="I31" s="19"/>
      <c r="J31" s="19"/>
      <c r="K31" s="43"/>
      <c r="L31" s="72"/>
    </row>
    <row r="32" spans="1:12" ht="12.75">
      <c r="A32" s="20" t="s">
        <v>22</v>
      </c>
      <c r="B32" s="134">
        <f aca="true" t="shared" si="4" ref="B32:G32">B34+B35+B36</f>
        <v>127378</v>
      </c>
      <c r="C32" s="27">
        <f t="shared" si="4"/>
        <v>220562</v>
      </c>
      <c r="D32" s="27">
        <f t="shared" si="4"/>
        <v>296805</v>
      </c>
      <c r="E32" s="27">
        <f t="shared" si="4"/>
        <v>41728</v>
      </c>
      <c r="F32" s="27">
        <f t="shared" si="4"/>
        <v>13009</v>
      </c>
      <c r="G32" s="27">
        <f t="shared" si="4"/>
        <v>-67000</v>
      </c>
      <c r="H32" s="27">
        <f aca="true" t="shared" si="5" ref="H32:H55">D32+E32+F32+G32</f>
        <v>284542</v>
      </c>
      <c r="I32" s="27">
        <f>I34+I35+I36</f>
        <v>211573</v>
      </c>
      <c r="J32" s="87">
        <f>I32/D32*100</f>
        <v>71.28350263641111</v>
      </c>
      <c r="K32" s="87">
        <f>I32/H32*100</f>
        <v>74.35563115462743</v>
      </c>
      <c r="L32" s="68">
        <f>I32/B32*100</f>
        <v>166.09854134936958</v>
      </c>
    </row>
    <row r="33" spans="1:12" ht="12.75">
      <c r="A33" s="7" t="s">
        <v>23</v>
      </c>
      <c r="B33" s="19"/>
      <c r="C33" s="19"/>
      <c r="D33" s="19"/>
      <c r="E33" s="19"/>
      <c r="F33" s="19"/>
      <c r="G33" s="19"/>
      <c r="H33" s="19"/>
      <c r="I33" s="19"/>
      <c r="J33" s="19"/>
      <c r="K33" s="43"/>
      <c r="L33" s="72"/>
    </row>
    <row r="34" spans="1:12" ht="12.75">
      <c r="A34" s="7" t="s">
        <v>24</v>
      </c>
      <c r="B34" s="19">
        <v>74322</v>
      </c>
      <c r="C34" s="19">
        <v>132462</v>
      </c>
      <c r="D34" s="19">
        <v>186689</v>
      </c>
      <c r="E34" s="19">
        <v>36034</v>
      </c>
      <c r="F34" s="19">
        <v>0</v>
      </c>
      <c r="G34" s="19">
        <v>-23900</v>
      </c>
      <c r="H34" s="19">
        <f t="shared" si="5"/>
        <v>198823</v>
      </c>
      <c r="I34" s="19">
        <v>169542</v>
      </c>
      <c r="J34" s="43">
        <f aca="true" t="shared" si="6" ref="J34:J60">I34/D34*100</f>
        <v>90.81520603784904</v>
      </c>
      <c r="K34" s="43">
        <f>I34/H34*100</f>
        <v>85.27283060812884</v>
      </c>
      <c r="L34" s="72">
        <f>I34/B34*100</f>
        <v>228.11818842334705</v>
      </c>
    </row>
    <row r="35" spans="1:12" ht="12.75">
      <c r="A35" s="7" t="s">
        <v>25</v>
      </c>
      <c r="B35" s="19">
        <v>53056</v>
      </c>
      <c r="C35" s="19">
        <v>88100</v>
      </c>
      <c r="D35" s="19">
        <v>110116</v>
      </c>
      <c r="E35" s="19">
        <v>5694</v>
      </c>
      <c r="F35" s="19">
        <v>13009</v>
      </c>
      <c r="G35" s="19">
        <v>-43100</v>
      </c>
      <c r="H35" s="19">
        <f t="shared" si="5"/>
        <v>85719</v>
      </c>
      <c r="I35" s="19">
        <v>42031</v>
      </c>
      <c r="J35" s="43">
        <f t="shared" si="6"/>
        <v>38.16974826546551</v>
      </c>
      <c r="K35" s="43">
        <f>I35/H35*100</f>
        <v>49.033469825826245</v>
      </c>
      <c r="L35" s="72">
        <f>I35/B35*100</f>
        <v>79.22006936067551</v>
      </c>
    </row>
    <row r="36" spans="1:12" ht="12.75">
      <c r="A36" s="8" t="s">
        <v>26</v>
      </c>
      <c r="B36" s="94">
        <v>0</v>
      </c>
      <c r="C36" s="94"/>
      <c r="D36" s="94"/>
      <c r="E36" s="94"/>
      <c r="F36" s="94"/>
      <c r="G36" s="94"/>
      <c r="H36" s="94">
        <f t="shared" si="5"/>
        <v>0</v>
      </c>
      <c r="I36" s="94"/>
      <c r="J36" s="94"/>
      <c r="K36" s="95">
        <v>0</v>
      </c>
      <c r="L36" s="68">
        <v>0</v>
      </c>
    </row>
    <row r="37" spans="1:12" ht="12.75">
      <c r="A37" s="4"/>
      <c r="B37" s="28"/>
      <c r="C37" s="28"/>
      <c r="D37" s="28"/>
      <c r="E37" s="28"/>
      <c r="F37" s="28"/>
      <c r="G37" s="28"/>
      <c r="H37" s="28"/>
      <c r="I37" s="28"/>
      <c r="J37" s="28"/>
      <c r="K37" s="124"/>
      <c r="L37" s="86"/>
    </row>
    <row r="38" spans="1:12" ht="12.75">
      <c r="A38" s="6" t="s">
        <v>27</v>
      </c>
      <c r="B38" s="134">
        <f>B40+B43+B44+B45+B46</f>
        <v>3905274</v>
      </c>
      <c r="C38" s="27">
        <f>C40+C46+C43+C44+C45</f>
        <v>4094110</v>
      </c>
      <c r="D38" s="27">
        <f>D40+D46+D43+D44+D45</f>
        <v>4125440</v>
      </c>
      <c r="E38" s="27">
        <f>E40+E46+E43+E44+E45</f>
        <v>10135</v>
      </c>
      <c r="F38" s="27">
        <f>F40+F46+F43+F44+F45</f>
        <v>7180</v>
      </c>
      <c r="G38" s="27">
        <f>G40+G46+G43+G44+G45</f>
        <v>-74859</v>
      </c>
      <c r="H38" s="27">
        <f t="shared" si="5"/>
        <v>4067896</v>
      </c>
      <c r="I38" s="27">
        <f>I40+I43+I44+I45+I46</f>
        <v>3764041</v>
      </c>
      <c r="J38" s="87">
        <f t="shared" si="6"/>
        <v>91.23974654824697</v>
      </c>
      <c r="K38" s="87">
        <f>I38/H38*100</f>
        <v>92.53041375689054</v>
      </c>
      <c r="L38" s="68">
        <f>I38/B38*100</f>
        <v>96.38353160367237</v>
      </c>
    </row>
    <row r="39" spans="1:12" ht="12.75">
      <c r="A39" s="7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43"/>
      <c r="L39" s="72"/>
    </row>
    <row r="40" spans="1:12" ht="12.75">
      <c r="A40" s="9" t="s">
        <v>28</v>
      </c>
      <c r="B40" s="36">
        <f aca="true" t="shared" si="7" ref="B40:G40">B41+B42</f>
        <v>2123849</v>
      </c>
      <c r="C40" s="29">
        <f t="shared" si="7"/>
        <v>2078168</v>
      </c>
      <c r="D40" s="29">
        <f t="shared" si="7"/>
        <v>2073851</v>
      </c>
      <c r="E40" s="29">
        <f t="shared" si="7"/>
        <v>687</v>
      </c>
      <c r="F40" s="29">
        <f t="shared" si="7"/>
        <v>0</v>
      </c>
      <c r="G40" s="29">
        <f t="shared" si="7"/>
        <v>-14925</v>
      </c>
      <c r="H40" s="29">
        <f t="shared" si="5"/>
        <v>2059613</v>
      </c>
      <c r="I40" s="29">
        <f>I41+I42</f>
        <v>2056042</v>
      </c>
      <c r="J40" s="45">
        <f t="shared" si="6"/>
        <v>99.14125942509853</v>
      </c>
      <c r="K40" s="45">
        <f aca="true" t="shared" si="8" ref="K40:K46">I40/H40*100</f>
        <v>99.82661791317106</v>
      </c>
      <c r="L40" s="72">
        <f aca="true" t="shared" si="9" ref="L40:L60">I40/B40*100</f>
        <v>96.80735306511905</v>
      </c>
    </row>
    <row r="41" spans="1:12" ht="12.75">
      <c r="A41" s="7" t="s">
        <v>29</v>
      </c>
      <c r="B41" s="19">
        <v>2115394</v>
      </c>
      <c r="C41" s="19">
        <v>2068379</v>
      </c>
      <c r="D41" s="19">
        <v>2064062</v>
      </c>
      <c r="E41" s="19"/>
      <c r="F41" s="19"/>
      <c r="G41" s="19">
        <v>-14925</v>
      </c>
      <c r="H41" s="19">
        <f t="shared" si="5"/>
        <v>2049137</v>
      </c>
      <c r="I41" s="19">
        <v>2047362</v>
      </c>
      <c r="J41" s="43">
        <f t="shared" si="6"/>
        <v>99.19091577675478</v>
      </c>
      <c r="K41" s="43">
        <f t="shared" si="8"/>
        <v>99.91337816846799</v>
      </c>
      <c r="L41" s="72">
        <f t="shared" si="9"/>
        <v>96.7839560857221</v>
      </c>
    </row>
    <row r="42" spans="1:12" ht="12.75">
      <c r="A42" s="16" t="s">
        <v>30</v>
      </c>
      <c r="B42" s="19">
        <v>8455</v>
      </c>
      <c r="C42" s="19">
        <v>9789</v>
      </c>
      <c r="D42" s="19">
        <v>9789</v>
      </c>
      <c r="E42" s="19">
        <v>687</v>
      </c>
      <c r="F42" s="19"/>
      <c r="G42" s="19"/>
      <c r="H42" s="19">
        <f t="shared" si="5"/>
        <v>10476</v>
      </c>
      <c r="I42" s="19">
        <v>8680</v>
      </c>
      <c r="J42" s="43">
        <f t="shared" si="6"/>
        <v>88.6709571968536</v>
      </c>
      <c r="K42" s="43">
        <f t="shared" si="8"/>
        <v>82.85605192821689</v>
      </c>
      <c r="L42" s="72">
        <f t="shared" si="9"/>
        <v>102.66114725014783</v>
      </c>
    </row>
    <row r="43" spans="1:12" ht="12.75">
      <c r="A43" s="10" t="s">
        <v>31</v>
      </c>
      <c r="B43" s="36">
        <v>722109</v>
      </c>
      <c r="C43" s="36">
        <v>706579</v>
      </c>
      <c r="D43" s="36">
        <v>705110</v>
      </c>
      <c r="E43" s="36">
        <v>234</v>
      </c>
      <c r="F43" s="36"/>
      <c r="G43" s="29">
        <v>-5075</v>
      </c>
      <c r="H43" s="36">
        <f t="shared" si="5"/>
        <v>700269</v>
      </c>
      <c r="I43" s="36">
        <v>699050</v>
      </c>
      <c r="J43" s="44">
        <f t="shared" si="6"/>
        <v>99.14055962899407</v>
      </c>
      <c r="K43" s="44">
        <f t="shared" si="8"/>
        <v>99.82592403776263</v>
      </c>
      <c r="L43" s="72">
        <f t="shared" si="9"/>
        <v>96.80671477574715</v>
      </c>
    </row>
    <row r="44" spans="1:12" ht="12.75">
      <c r="A44" s="10" t="s">
        <v>32</v>
      </c>
      <c r="B44" s="36">
        <v>21154</v>
      </c>
      <c r="C44" s="36">
        <v>20684</v>
      </c>
      <c r="D44" s="36">
        <v>20640</v>
      </c>
      <c r="E44" s="36"/>
      <c r="F44" s="36"/>
      <c r="G44" s="29">
        <v>-149</v>
      </c>
      <c r="H44" s="36">
        <f t="shared" si="5"/>
        <v>20491</v>
      </c>
      <c r="I44" s="36">
        <v>20473</v>
      </c>
      <c r="J44" s="44">
        <f t="shared" si="6"/>
        <v>99.19089147286822</v>
      </c>
      <c r="K44" s="44">
        <f t="shared" si="8"/>
        <v>99.91215655653701</v>
      </c>
      <c r="L44" s="72">
        <f t="shared" si="9"/>
        <v>96.78075068544956</v>
      </c>
    </row>
    <row r="45" spans="1:12" ht="12.75">
      <c r="A45" s="10" t="s">
        <v>49</v>
      </c>
      <c r="B45" s="36">
        <v>414270</v>
      </c>
      <c r="C45" s="29">
        <v>674948</v>
      </c>
      <c r="D45" s="36">
        <v>674948</v>
      </c>
      <c r="E45" s="36"/>
      <c r="F45" s="36"/>
      <c r="G45" s="29"/>
      <c r="H45" s="36">
        <f t="shared" si="5"/>
        <v>674948</v>
      </c>
      <c r="I45" s="36">
        <v>418148</v>
      </c>
      <c r="J45" s="42">
        <f t="shared" si="6"/>
        <v>61.95262449847988</v>
      </c>
      <c r="K45" s="44">
        <f t="shared" si="8"/>
        <v>61.95262449847988</v>
      </c>
      <c r="L45" s="72">
        <f t="shared" si="9"/>
        <v>100.93610447292829</v>
      </c>
    </row>
    <row r="46" spans="1:12" ht="12.75">
      <c r="A46" s="10" t="s">
        <v>34</v>
      </c>
      <c r="B46" s="36">
        <f aca="true" t="shared" si="10" ref="B46:G46">B48+B49+B50+B52+B56</f>
        <v>623892</v>
      </c>
      <c r="C46" s="29">
        <f t="shared" si="10"/>
        <v>613731</v>
      </c>
      <c r="D46" s="29">
        <f t="shared" si="10"/>
        <v>650891</v>
      </c>
      <c r="E46" s="29">
        <f t="shared" si="10"/>
        <v>9214</v>
      </c>
      <c r="F46" s="29">
        <f t="shared" si="10"/>
        <v>7180</v>
      </c>
      <c r="G46" s="29">
        <f t="shared" si="10"/>
        <v>-54710</v>
      </c>
      <c r="H46" s="29">
        <f>D46+E46+F46+G46</f>
        <v>612575</v>
      </c>
      <c r="I46" s="29">
        <f>I48+I49+I50+I52+I56</f>
        <v>570328</v>
      </c>
      <c r="J46" s="45">
        <f t="shared" si="6"/>
        <v>87.62265878618693</v>
      </c>
      <c r="K46" s="45">
        <f t="shared" si="8"/>
        <v>93.10337509692691</v>
      </c>
      <c r="L46" s="72">
        <f t="shared" si="9"/>
        <v>91.41453969597302</v>
      </c>
    </row>
    <row r="47" spans="1:12" ht="12.75">
      <c r="A47" s="7" t="s">
        <v>35</v>
      </c>
      <c r="B47" s="19"/>
      <c r="C47" s="19"/>
      <c r="D47" s="19"/>
      <c r="E47" s="19"/>
      <c r="F47" s="19"/>
      <c r="G47" s="19"/>
      <c r="H47" s="19"/>
      <c r="I47" s="19"/>
      <c r="J47" s="19"/>
      <c r="K47" s="43"/>
      <c r="L47" s="72"/>
    </row>
    <row r="48" spans="1:12" ht="12.75">
      <c r="A48" s="7" t="s">
        <v>36</v>
      </c>
      <c r="B48" s="19">
        <v>80325</v>
      </c>
      <c r="C48" s="19">
        <v>63326</v>
      </c>
      <c r="D48" s="19">
        <v>74712</v>
      </c>
      <c r="E48" s="19"/>
      <c r="F48" s="19">
        <v>76</v>
      </c>
      <c r="G48" s="19">
        <v>-8050</v>
      </c>
      <c r="H48" s="19">
        <f t="shared" si="5"/>
        <v>66738</v>
      </c>
      <c r="I48" s="19">
        <v>59778</v>
      </c>
      <c r="J48" s="43">
        <f t="shared" si="6"/>
        <v>80.01124317378734</v>
      </c>
      <c r="K48" s="43">
        <f aca="true" t="shared" si="11" ref="K48:K60">I48/H48*100</f>
        <v>89.57115886001978</v>
      </c>
      <c r="L48" s="72">
        <f t="shared" si="9"/>
        <v>74.42016806722688</v>
      </c>
    </row>
    <row r="49" spans="1:12" ht="12.75">
      <c r="A49" s="7" t="s">
        <v>37</v>
      </c>
      <c r="B49" s="19">
        <v>104794</v>
      </c>
      <c r="C49" s="19">
        <v>117791</v>
      </c>
      <c r="D49" s="19">
        <v>108240</v>
      </c>
      <c r="E49" s="19"/>
      <c r="F49" s="19"/>
      <c r="G49" s="19"/>
      <c r="H49" s="19">
        <f t="shared" si="5"/>
        <v>108240</v>
      </c>
      <c r="I49" s="19">
        <v>105441</v>
      </c>
      <c r="J49" s="43">
        <f t="shared" si="6"/>
        <v>97.4140798226164</v>
      </c>
      <c r="K49" s="43">
        <f t="shared" si="11"/>
        <v>97.4140798226164</v>
      </c>
      <c r="L49" s="72">
        <f t="shared" si="9"/>
        <v>100.61740175964273</v>
      </c>
    </row>
    <row r="50" spans="1:12" ht="12.75">
      <c r="A50" s="7" t="s">
        <v>38</v>
      </c>
      <c r="B50" s="19">
        <v>289542</v>
      </c>
      <c r="C50" s="19">
        <v>300295</v>
      </c>
      <c r="D50" s="19">
        <v>311153</v>
      </c>
      <c r="E50" s="19">
        <v>6146</v>
      </c>
      <c r="F50" s="19">
        <v>37</v>
      </c>
      <c r="G50" s="19">
        <v>-42150</v>
      </c>
      <c r="H50" s="19">
        <f t="shared" si="5"/>
        <v>275186</v>
      </c>
      <c r="I50" s="19">
        <v>255695</v>
      </c>
      <c r="J50" s="43">
        <f t="shared" si="6"/>
        <v>82.17661407731887</v>
      </c>
      <c r="K50" s="43">
        <f t="shared" si="11"/>
        <v>92.91715421569411</v>
      </c>
      <c r="L50" s="72">
        <f t="shared" si="9"/>
        <v>88.31015880252261</v>
      </c>
    </row>
    <row r="51" spans="1:12" ht="12.75">
      <c r="A51" s="7" t="s">
        <v>39</v>
      </c>
      <c r="B51" s="19">
        <v>65996</v>
      </c>
      <c r="C51" s="19">
        <v>65727</v>
      </c>
      <c r="D51" s="19">
        <v>62297</v>
      </c>
      <c r="E51" s="19"/>
      <c r="F51" s="19"/>
      <c r="G51" s="19"/>
      <c r="H51" s="19">
        <f t="shared" si="5"/>
        <v>62297</v>
      </c>
      <c r="I51" s="19">
        <v>61994</v>
      </c>
      <c r="J51" s="43">
        <f t="shared" si="6"/>
        <v>99.51362023853476</v>
      </c>
      <c r="K51" s="43">
        <f t="shared" si="11"/>
        <v>99.51362023853476</v>
      </c>
      <c r="L51" s="72">
        <f t="shared" si="9"/>
        <v>93.93599612097702</v>
      </c>
    </row>
    <row r="52" spans="1:12" ht="12.75">
      <c r="A52" s="7" t="s">
        <v>40</v>
      </c>
      <c r="B52" s="19">
        <v>97000</v>
      </c>
      <c r="C52" s="19">
        <v>74348</v>
      </c>
      <c r="D52" s="19">
        <v>89469</v>
      </c>
      <c r="E52" s="19"/>
      <c r="F52" s="19">
        <v>7067</v>
      </c>
      <c r="G52" s="19">
        <v>-4510</v>
      </c>
      <c r="H52" s="19">
        <f t="shared" si="5"/>
        <v>92026</v>
      </c>
      <c r="I52" s="19">
        <v>84085</v>
      </c>
      <c r="J52" s="43">
        <f t="shared" si="6"/>
        <v>93.9822731895964</v>
      </c>
      <c r="K52" s="43">
        <f t="shared" si="11"/>
        <v>91.37091691478496</v>
      </c>
      <c r="L52" s="72">
        <f t="shared" si="9"/>
        <v>86.68556701030928</v>
      </c>
    </row>
    <row r="53" spans="1:12" ht="12.75">
      <c r="A53" s="7" t="s">
        <v>41</v>
      </c>
      <c r="B53" s="19">
        <v>51854</v>
      </c>
      <c r="C53" s="19">
        <v>34865</v>
      </c>
      <c r="D53" s="19">
        <v>46463</v>
      </c>
      <c r="E53" s="19"/>
      <c r="F53" s="19"/>
      <c r="G53" s="19">
        <v>-4000</v>
      </c>
      <c r="H53" s="19">
        <f t="shared" si="5"/>
        <v>42463</v>
      </c>
      <c r="I53" s="19">
        <v>40469</v>
      </c>
      <c r="J53" s="43">
        <f t="shared" si="6"/>
        <v>87.09941243570152</v>
      </c>
      <c r="K53" s="43">
        <f t="shared" si="11"/>
        <v>95.30414713986293</v>
      </c>
      <c r="L53" s="72">
        <f t="shared" si="9"/>
        <v>78.04412388629613</v>
      </c>
    </row>
    <row r="54" spans="1:12" ht="12.75">
      <c r="A54" s="7" t="s">
        <v>42</v>
      </c>
      <c r="B54" s="19">
        <v>2390</v>
      </c>
      <c r="C54" s="19">
        <v>1480</v>
      </c>
      <c r="D54" s="19">
        <v>1030</v>
      </c>
      <c r="E54" s="19"/>
      <c r="F54" s="19"/>
      <c r="G54" s="19"/>
      <c r="H54" s="19">
        <f t="shared" si="5"/>
        <v>1030</v>
      </c>
      <c r="I54" s="19">
        <v>592</v>
      </c>
      <c r="J54" s="43">
        <f t="shared" si="6"/>
        <v>57.4757281553398</v>
      </c>
      <c r="K54" s="43">
        <f t="shared" si="11"/>
        <v>57.4757281553398</v>
      </c>
      <c r="L54" s="72">
        <f t="shared" si="9"/>
        <v>24.769874476987447</v>
      </c>
    </row>
    <row r="55" spans="1:12" ht="12.75">
      <c r="A55" s="7" t="s">
        <v>43</v>
      </c>
      <c r="B55" s="19">
        <v>34688</v>
      </c>
      <c r="C55" s="19">
        <v>27818</v>
      </c>
      <c r="D55" s="19">
        <v>33912</v>
      </c>
      <c r="E55" s="19"/>
      <c r="F55" s="19">
        <v>7055</v>
      </c>
      <c r="G55" s="19"/>
      <c r="H55" s="19">
        <f t="shared" si="5"/>
        <v>40967</v>
      </c>
      <c r="I55" s="19">
        <v>35540</v>
      </c>
      <c r="J55" s="43">
        <f t="shared" si="6"/>
        <v>104.80066053314461</v>
      </c>
      <c r="K55" s="43">
        <f t="shared" si="11"/>
        <v>86.75275221519759</v>
      </c>
      <c r="L55" s="72">
        <f t="shared" si="9"/>
        <v>102.45618081180811</v>
      </c>
    </row>
    <row r="56" spans="1:12" ht="13.5" thickBot="1">
      <c r="A56" s="15" t="s">
        <v>44</v>
      </c>
      <c r="B56" s="30">
        <v>52231</v>
      </c>
      <c r="C56" s="30">
        <v>57971</v>
      </c>
      <c r="D56" s="30">
        <v>67317</v>
      </c>
      <c r="E56" s="30">
        <f>3068+1-1</f>
        <v>3068</v>
      </c>
      <c r="F56" s="30"/>
      <c r="G56" s="30"/>
      <c r="H56" s="30">
        <f>D56+E56+F56+G56</f>
        <v>70385</v>
      </c>
      <c r="I56" s="30">
        <v>65329</v>
      </c>
      <c r="J56" s="46">
        <f t="shared" si="6"/>
        <v>97.04680838421201</v>
      </c>
      <c r="K56" s="46">
        <f t="shared" si="11"/>
        <v>92.81665127512964</v>
      </c>
      <c r="L56" s="105">
        <f t="shared" si="9"/>
        <v>125.07706151519213</v>
      </c>
    </row>
    <row r="57" spans="1:12" ht="12.75">
      <c r="A57" s="7" t="s">
        <v>45</v>
      </c>
      <c r="B57" s="19">
        <v>5614</v>
      </c>
      <c r="C57" s="19">
        <v>5744</v>
      </c>
      <c r="D57" s="19">
        <v>5734</v>
      </c>
      <c r="E57" s="19"/>
      <c r="F57" s="19"/>
      <c r="G57" s="19"/>
      <c r="H57" s="19">
        <f>D57+E57+F57</f>
        <v>5734</v>
      </c>
      <c r="I57" s="19">
        <v>5467</v>
      </c>
      <c r="J57" s="43">
        <f t="shared" si="6"/>
        <v>95.34356470177886</v>
      </c>
      <c r="K57" s="43">
        <f t="shared" si="11"/>
        <v>95.34356470177886</v>
      </c>
      <c r="L57" s="72">
        <f t="shared" si="9"/>
        <v>97.38154613466334</v>
      </c>
    </row>
    <row r="58" spans="1:12" ht="12.75" hidden="1">
      <c r="A58" s="7" t="s">
        <v>87</v>
      </c>
      <c r="B58" s="19"/>
      <c r="C58" s="19"/>
      <c r="D58" s="19"/>
      <c r="E58" s="19"/>
      <c r="F58" s="19"/>
      <c r="G58" s="19"/>
      <c r="H58" s="19">
        <f>D58+E58+F58</f>
        <v>0</v>
      </c>
      <c r="I58" s="19"/>
      <c r="J58" s="19" t="e">
        <f t="shared" si="6"/>
        <v>#DIV/0!</v>
      </c>
      <c r="K58" s="43" t="e">
        <f t="shared" si="11"/>
        <v>#DIV/0!</v>
      </c>
      <c r="L58" s="72" t="e">
        <f t="shared" si="9"/>
        <v>#DIV/0!</v>
      </c>
    </row>
    <row r="59" spans="1:12" ht="12.75">
      <c r="A59" s="7" t="s">
        <v>46</v>
      </c>
      <c r="B59" s="19">
        <f>B41/B57/12*1000</f>
        <v>31400.575941099632</v>
      </c>
      <c r="C59" s="19">
        <f>C41/C57/12*1000</f>
        <v>30007.819753946147</v>
      </c>
      <c r="D59" s="19">
        <f>D41/D57/12*1000</f>
        <v>29997.41309150099</v>
      </c>
      <c r="E59" s="19"/>
      <c r="F59" s="19"/>
      <c r="G59" s="19"/>
      <c r="H59" s="19">
        <f>H41/H57/12*1000</f>
        <v>29780.505173817</v>
      </c>
      <c r="I59" s="19">
        <f>I41/I57/12*1000</f>
        <v>31207.883665630146</v>
      </c>
      <c r="J59" s="43">
        <f t="shared" si="6"/>
        <v>104.03524987450372</v>
      </c>
      <c r="K59" s="43">
        <f t="shared" si="11"/>
        <v>104.79299623522873</v>
      </c>
      <c r="L59" s="72">
        <f t="shared" si="9"/>
        <v>99.38634158866725</v>
      </c>
    </row>
    <row r="60" spans="1:13" ht="13.5" thickBot="1">
      <c r="A60" s="5" t="s">
        <v>47</v>
      </c>
      <c r="B60" s="31">
        <f>B46/B57*1000</f>
        <v>111131.45707160671</v>
      </c>
      <c r="C60" s="31">
        <f>C46/C57*1000</f>
        <v>106847.31894150419</v>
      </c>
      <c r="D60" s="31">
        <f>D46/D57*1000</f>
        <v>113514.30066271363</v>
      </c>
      <c r="E60" s="31"/>
      <c r="F60" s="31"/>
      <c r="G60" s="31"/>
      <c r="H60" s="31">
        <f>H46/H57*1000</f>
        <v>106832.05441227765</v>
      </c>
      <c r="I60" s="31">
        <f>I46/I57*1000</f>
        <v>104321.93158953723</v>
      </c>
      <c r="J60" s="81">
        <f t="shared" si="6"/>
        <v>91.90201673312528</v>
      </c>
      <c r="K60" s="81">
        <f t="shared" si="11"/>
        <v>97.65040292770786</v>
      </c>
      <c r="L60" s="83">
        <f t="shared" si="9"/>
        <v>93.87254908600558</v>
      </c>
      <c r="M60" s="11"/>
    </row>
    <row r="61" spans="9:10" ht="12.75">
      <c r="I61" s="26"/>
      <c r="J61" s="26"/>
    </row>
    <row r="62" ht="12.75">
      <c r="A62" s="1" t="s">
        <v>62</v>
      </c>
    </row>
    <row r="63" spans="1:2" ht="12.75">
      <c r="A63" s="35" t="s">
        <v>73</v>
      </c>
      <c r="B63" s="26"/>
    </row>
    <row r="64" ht="12.75">
      <c r="A64" s="35" t="s">
        <v>67</v>
      </c>
    </row>
    <row r="65" ht="12.75">
      <c r="A65" s="35" t="s">
        <v>74</v>
      </c>
    </row>
    <row r="66" ht="12.75">
      <c r="A66" s="1" t="s">
        <v>69</v>
      </c>
    </row>
    <row r="67" ht="12.75">
      <c r="A67" s="1" t="s">
        <v>72</v>
      </c>
    </row>
    <row r="68" spans="1:11" ht="12.75">
      <c r="A68" s="180" t="s">
        <v>68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</sheetData>
  <sheetProtection/>
  <mergeCells count="1">
    <mergeCell ref="A68:K68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pane xSplit="1" ySplit="8" topLeftCell="B9" activePane="bottomRight" state="frozen"/>
      <selection pane="topLeft" activeCell="N33" sqref="N33"/>
      <selection pane="topRight" activeCell="N33" sqref="N33"/>
      <selection pane="bottomLeft" activeCell="N33" sqref="N33"/>
      <selection pane="bottomRight" activeCell="N33" sqref="N33"/>
    </sheetView>
  </sheetViews>
  <sheetFormatPr defaultColWidth="9.125" defaultRowHeight="12.75"/>
  <cols>
    <col min="1" max="1" width="33.125" style="1" customWidth="1"/>
    <col min="2" max="2" width="10.125" style="14" customWidth="1"/>
    <col min="3" max="3" width="9.25390625" style="1" customWidth="1"/>
    <col min="4" max="4" width="9.75390625" style="1" customWidth="1"/>
    <col min="5" max="5" width="10.625" style="1" customWidth="1"/>
    <col min="6" max="6" width="9.25390625" style="1" customWidth="1"/>
    <col min="7" max="7" width="11.125" style="1" customWidth="1"/>
    <col min="8" max="8" width="10.125" style="1" customWidth="1"/>
    <col min="9" max="10" width="10.00390625" style="1" customWidth="1"/>
    <col min="11" max="11" width="8.00390625" style="1" customWidth="1"/>
    <col min="12" max="12" width="8.375" style="1" customWidth="1"/>
    <col min="13" max="16384" width="9.125" style="1" customWidth="1"/>
  </cols>
  <sheetData>
    <row r="1" spans="1:11" ht="18.75">
      <c r="A1" s="179" t="s">
        <v>51</v>
      </c>
      <c r="B1" s="13"/>
      <c r="K1" s="176" t="s">
        <v>94</v>
      </c>
    </row>
    <row r="2" ht="12.75">
      <c r="A2" s="1" t="s">
        <v>90</v>
      </c>
    </row>
    <row r="3" spans="9:12" ht="13.5" thickBot="1">
      <c r="I3" s="2"/>
      <c r="J3" s="2"/>
      <c r="L3" s="12"/>
    </row>
    <row r="4" spans="1:12" ht="12.75">
      <c r="A4" s="3"/>
      <c r="B4" s="161">
        <v>2011</v>
      </c>
      <c r="C4" s="52"/>
      <c r="D4" s="52">
        <v>2012</v>
      </c>
      <c r="E4" s="52"/>
      <c r="F4" s="52"/>
      <c r="G4" s="52"/>
      <c r="H4" s="52"/>
      <c r="I4" s="52"/>
      <c r="J4" s="52"/>
      <c r="K4" s="53"/>
      <c r="L4" s="54" t="s">
        <v>82</v>
      </c>
    </row>
    <row r="5" spans="1:12" ht="12.75">
      <c r="A5" s="4" t="s">
        <v>0</v>
      </c>
      <c r="B5" s="32" t="s">
        <v>1</v>
      </c>
      <c r="C5" s="55" t="s">
        <v>89</v>
      </c>
      <c r="D5" s="56"/>
      <c r="E5" s="57"/>
      <c r="F5" s="57"/>
      <c r="G5" s="57"/>
      <c r="H5" s="57"/>
      <c r="I5" s="58" t="s">
        <v>1</v>
      </c>
      <c r="J5" s="58" t="s">
        <v>2</v>
      </c>
      <c r="K5" s="58" t="s">
        <v>2</v>
      </c>
      <c r="L5" s="54" t="s">
        <v>3</v>
      </c>
    </row>
    <row r="6" spans="1:12" ht="13.5" thickBot="1">
      <c r="A6" s="5"/>
      <c r="B6" s="59" t="s">
        <v>88</v>
      </c>
      <c r="C6" s="60" t="s">
        <v>4</v>
      </c>
      <c r="D6" s="60" t="s">
        <v>63</v>
      </c>
      <c r="E6" s="61" t="s">
        <v>60</v>
      </c>
      <c r="F6" s="61" t="s">
        <v>61</v>
      </c>
      <c r="G6" s="61" t="s">
        <v>83</v>
      </c>
      <c r="H6" s="61" t="s">
        <v>65</v>
      </c>
      <c r="I6" s="59" t="s">
        <v>88</v>
      </c>
      <c r="J6" s="60" t="s">
        <v>80</v>
      </c>
      <c r="K6" s="60" t="s">
        <v>66</v>
      </c>
      <c r="L6" s="164" t="s">
        <v>5</v>
      </c>
    </row>
    <row r="7" spans="1:12" ht="13.5" thickBot="1">
      <c r="A7" s="5" t="s">
        <v>6</v>
      </c>
      <c r="B7" s="3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3" t="s">
        <v>84</v>
      </c>
      <c r="K7" s="33" t="s">
        <v>85</v>
      </c>
      <c r="L7" s="63" t="s">
        <v>86</v>
      </c>
    </row>
    <row r="8" spans="1:12" ht="12.75">
      <c r="A8" s="8" t="s">
        <v>7</v>
      </c>
      <c r="B8" s="134">
        <f>SUM(B10:B28)</f>
        <v>1322064</v>
      </c>
      <c r="C8" s="27">
        <f>SUM(C10:C28)</f>
        <v>715518</v>
      </c>
      <c r="D8" s="122">
        <f>SUM(D10:D28)</f>
        <v>715518</v>
      </c>
      <c r="E8" s="135" t="s">
        <v>64</v>
      </c>
      <c r="F8" s="122">
        <f>SUM(F10:F28)</f>
        <v>0</v>
      </c>
      <c r="G8" s="135" t="s">
        <v>64</v>
      </c>
      <c r="H8" s="122">
        <f>D8+F8</f>
        <v>715518</v>
      </c>
      <c r="I8" s="122">
        <f>I10+I12+I13+I14+I15+I16+I17+I18+I19+I20+I21+I22+I23+I24+I25+I26+I27+I28</f>
        <v>1255775</v>
      </c>
      <c r="J8" s="136">
        <f>I8/D8*100</f>
        <v>175.50571753610672</v>
      </c>
      <c r="K8" s="87">
        <f>I8/H8*100</f>
        <v>175.50571753610672</v>
      </c>
      <c r="L8" s="68">
        <f>I8/B8*100</f>
        <v>94.98594621742971</v>
      </c>
    </row>
    <row r="9" spans="1:14" ht="12.75">
      <c r="A9" s="7" t="s">
        <v>8</v>
      </c>
      <c r="B9" s="19"/>
      <c r="C9" s="19"/>
      <c r="D9" s="19"/>
      <c r="E9" s="73"/>
      <c r="F9" s="19"/>
      <c r="G9" s="73"/>
      <c r="H9" s="19"/>
      <c r="I9" s="47"/>
      <c r="J9" s="43"/>
      <c r="K9" s="43"/>
      <c r="L9" s="137"/>
      <c r="N9" s="14"/>
    </row>
    <row r="10" spans="1:12" ht="12.75">
      <c r="A10" s="21" t="s">
        <v>58</v>
      </c>
      <c r="B10" s="120"/>
      <c r="C10" s="19"/>
      <c r="D10" s="19"/>
      <c r="E10" s="73" t="s">
        <v>64</v>
      </c>
      <c r="F10" s="19"/>
      <c r="G10" s="73" t="s">
        <v>64</v>
      </c>
      <c r="H10" s="19">
        <f aca="true" t="shared" si="0" ref="H10:H28">D10+F10</f>
        <v>0</v>
      </c>
      <c r="I10" s="19"/>
      <c r="J10" s="43"/>
      <c r="K10" s="43"/>
      <c r="L10" s="137"/>
    </row>
    <row r="11" spans="1:12" ht="12.75">
      <c r="A11" s="21" t="s">
        <v>9</v>
      </c>
      <c r="B11" s="120"/>
      <c r="C11" s="19"/>
      <c r="D11" s="19"/>
      <c r="E11" s="73" t="s">
        <v>64</v>
      </c>
      <c r="F11" s="19"/>
      <c r="G11" s="73" t="s">
        <v>64</v>
      </c>
      <c r="H11" s="19">
        <f t="shared" si="0"/>
        <v>0</v>
      </c>
      <c r="I11" s="19"/>
      <c r="J11" s="43"/>
      <c r="K11" s="43"/>
      <c r="L11" s="72"/>
    </row>
    <row r="12" spans="1:14" ht="12.75">
      <c r="A12" s="21" t="s">
        <v>10</v>
      </c>
      <c r="B12" s="120"/>
      <c r="C12" s="19"/>
      <c r="D12" s="19"/>
      <c r="E12" s="73" t="s">
        <v>64</v>
      </c>
      <c r="F12" s="19"/>
      <c r="G12" s="73" t="s">
        <v>64</v>
      </c>
      <c r="H12" s="19">
        <f t="shared" si="0"/>
        <v>0</v>
      </c>
      <c r="I12" s="19"/>
      <c r="J12" s="43"/>
      <c r="K12" s="43"/>
      <c r="L12" s="72"/>
      <c r="N12" s="14"/>
    </row>
    <row r="13" spans="1:14" ht="12.75">
      <c r="A13" s="7" t="s">
        <v>11</v>
      </c>
      <c r="B13" s="120">
        <v>7695</v>
      </c>
      <c r="C13" s="19">
        <v>0</v>
      </c>
      <c r="D13" s="19">
        <v>43</v>
      </c>
      <c r="E13" s="73" t="s">
        <v>64</v>
      </c>
      <c r="F13" s="19"/>
      <c r="G13" s="73" t="s">
        <v>64</v>
      </c>
      <c r="H13" s="19">
        <f t="shared" si="0"/>
        <v>43</v>
      </c>
      <c r="I13" s="19">
        <v>8079</v>
      </c>
      <c r="J13" s="43">
        <f>I13/D13*100</f>
        <v>18788.372093023256</v>
      </c>
      <c r="K13" s="43">
        <f aca="true" t="shared" si="1" ref="K13:K28">I13/H13*100</f>
        <v>18788.372093023256</v>
      </c>
      <c r="L13" s="72">
        <f aca="true" t="shared" si="2" ref="L13:L28">I13/B13*100</f>
        <v>104.99025341130603</v>
      </c>
      <c r="N13" s="1" t="s">
        <v>52</v>
      </c>
    </row>
    <row r="14" spans="1:12" ht="12.75">
      <c r="A14" s="17" t="s">
        <v>54</v>
      </c>
      <c r="B14" s="120"/>
      <c r="C14" s="19"/>
      <c r="D14" s="19"/>
      <c r="E14" s="73" t="s">
        <v>64</v>
      </c>
      <c r="F14" s="19"/>
      <c r="G14" s="73" t="s">
        <v>64</v>
      </c>
      <c r="H14" s="19">
        <f t="shared" si="0"/>
        <v>0</v>
      </c>
      <c r="I14" s="19"/>
      <c r="J14" s="43"/>
      <c r="K14" s="43"/>
      <c r="L14" s="72"/>
    </row>
    <row r="15" spans="1:12" ht="12.75">
      <c r="A15" s="7" t="s">
        <v>12</v>
      </c>
      <c r="B15" s="120">
        <v>181818</v>
      </c>
      <c r="C15" s="19">
        <v>120000</v>
      </c>
      <c r="D15" s="19">
        <v>122444</v>
      </c>
      <c r="E15" s="73" t="s">
        <v>64</v>
      </c>
      <c r="F15" s="19"/>
      <c r="G15" s="73" t="s">
        <v>64</v>
      </c>
      <c r="H15" s="19">
        <f t="shared" si="0"/>
        <v>122444</v>
      </c>
      <c r="I15" s="19">
        <v>149085</v>
      </c>
      <c r="J15" s="43">
        <f>I15/D15*100</f>
        <v>121.75770147986017</v>
      </c>
      <c r="K15" s="43">
        <f t="shared" si="1"/>
        <v>121.75770147986017</v>
      </c>
      <c r="L15" s="72">
        <f t="shared" si="2"/>
        <v>81.996831996832</v>
      </c>
    </row>
    <row r="16" spans="1:12" ht="12.75">
      <c r="A16" s="7" t="s">
        <v>13</v>
      </c>
      <c r="B16" s="120">
        <v>-1101</v>
      </c>
      <c r="C16" s="19">
        <v>0</v>
      </c>
      <c r="D16" s="19"/>
      <c r="E16" s="73" t="s">
        <v>64</v>
      </c>
      <c r="F16" s="19"/>
      <c r="G16" s="73" t="s">
        <v>64</v>
      </c>
      <c r="H16" s="19">
        <f t="shared" si="0"/>
        <v>0</v>
      </c>
      <c r="I16" s="19">
        <v>32</v>
      </c>
      <c r="J16" s="43" t="e">
        <f>I16/D16*100</f>
        <v>#DIV/0!</v>
      </c>
      <c r="K16" s="43" t="e">
        <f t="shared" si="1"/>
        <v>#DIV/0!</v>
      </c>
      <c r="L16" s="72">
        <f t="shared" si="2"/>
        <v>-2.9064486830154403</v>
      </c>
    </row>
    <row r="17" spans="1:12" ht="12.75">
      <c r="A17" s="7" t="s">
        <v>14</v>
      </c>
      <c r="B17" s="120">
        <f>9337+88</f>
        <v>9425</v>
      </c>
      <c r="C17" s="19">
        <v>0</v>
      </c>
      <c r="D17" s="19">
        <v>80</v>
      </c>
      <c r="E17" s="73" t="s">
        <v>64</v>
      </c>
      <c r="F17" s="19"/>
      <c r="G17" s="73" t="s">
        <v>64</v>
      </c>
      <c r="H17" s="19">
        <f t="shared" si="0"/>
        <v>80</v>
      </c>
      <c r="I17" s="19">
        <v>4503</v>
      </c>
      <c r="J17" s="43">
        <f>I17/D17*100</f>
        <v>5628.75</v>
      </c>
      <c r="K17" s="43">
        <f t="shared" si="1"/>
        <v>5628.75</v>
      </c>
      <c r="L17" s="72">
        <f t="shared" si="2"/>
        <v>47.777188328912466</v>
      </c>
    </row>
    <row r="18" spans="1:12" ht="12.75">
      <c r="A18" s="7" t="s">
        <v>15</v>
      </c>
      <c r="B18" s="120">
        <v>2822</v>
      </c>
      <c r="C18" s="19">
        <v>1000</v>
      </c>
      <c r="D18" s="19">
        <v>1043</v>
      </c>
      <c r="E18" s="73" t="s">
        <v>64</v>
      </c>
      <c r="F18" s="19"/>
      <c r="G18" s="73" t="s">
        <v>64</v>
      </c>
      <c r="H18" s="19">
        <f t="shared" si="0"/>
        <v>1043</v>
      </c>
      <c r="I18" s="19">
        <v>3347</v>
      </c>
      <c r="J18" s="43">
        <f>I18/D18*100</f>
        <v>320.9012464046021</v>
      </c>
      <c r="K18" s="43">
        <f t="shared" si="1"/>
        <v>320.9012464046021</v>
      </c>
      <c r="L18" s="72">
        <f t="shared" si="2"/>
        <v>118.60382707299789</v>
      </c>
    </row>
    <row r="19" spans="1:12" ht="12.75">
      <c r="A19" s="7" t="s">
        <v>16</v>
      </c>
      <c r="B19" s="120">
        <f>198765-88</f>
        <v>198677</v>
      </c>
      <c r="C19" s="19">
        <v>99000</v>
      </c>
      <c r="D19" s="19">
        <v>96390</v>
      </c>
      <c r="E19" s="73" t="s">
        <v>64</v>
      </c>
      <c r="F19" s="19"/>
      <c r="G19" s="73" t="s">
        <v>64</v>
      </c>
      <c r="H19" s="19">
        <f t="shared" si="0"/>
        <v>96390</v>
      </c>
      <c r="I19" s="19">
        <v>193915</v>
      </c>
      <c r="J19" s="43">
        <f>I19/D19*100</f>
        <v>201.17750804025314</v>
      </c>
      <c r="K19" s="43">
        <f t="shared" si="1"/>
        <v>201.17750804025314</v>
      </c>
      <c r="L19" s="72">
        <f t="shared" si="2"/>
        <v>97.60314480287099</v>
      </c>
    </row>
    <row r="20" spans="1:12" ht="12.75">
      <c r="A20" s="7" t="s">
        <v>59</v>
      </c>
      <c r="B20" s="120"/>
      <c r="C20" s="19"/>
      <c r="D20" s="19"/>
      <c r="E20" s="73" t="s">
        <v>64</v>
      </c>
      <c r="F20" s="19"/>
      <c r="G20" s="73" t="s">
        <v>64</v>
      </c>
      <c r="H20" s="19">
        <f t="shared" si="0"/>
        <v>0</v>
      </c>
      <c r="I20" s="19"/>
      <c r="J20" s="43"/>
      <c r="K20" s="43"/>
      <c r="L20" s="72"/>
    </row>
    <row r="21" spans="1:12" ht="12.75">
      <c r="A21" s="18" t="s">
        <v>55</v>
      </c>
      <c r="B21" s="120"/>
      <c r="C21" s="19"/>
      <c r="D21" s="19"/>
      <c r="E21" s="73" t="s">
        <v>64</v>
      </c>
      <c r="F21" s="19"/>
      <c r="G21" s="73" t="s">
        <v>64</v>
      </c>
      <c r="H21" s="19">
        <f t="shared" si="0"/>
        <v>0</v>
      </c>
      <c r="I21" s="19"/>
      <c r="J21" s="43"/>
      <c r="K21" s="43"/>
      <c r="L21" s="72"/>
    </row>
    <row r="22" spans="1:12" ht="12.75">
      <c r="A22" s="7" t="s">
        <v>17</v>
      </c>
      <c r="B22" s="120">
        <v>865334</v>
      </c>
      <c r="C22" s="19">
        <v>457000</v>
      </c>
      <c r="D22" s="19">
        <v>456350</v>
      </c>
      <c r="E22" s="73" t="s">
        <v>64</v>
      </c>
      <c r="F22" s="19"/>
      <c r="G22" s="73" t="s">
        <v>64</v>
      </c>
      <c r="H22" s="19">
        <f t="shared" si="0"/>
        <v>456350</v>
      </c>
      <c r="I22" s="19">
        <v>846135</v>
      </c>
      <c r="J22" s="43">
        <f>I22/D22*100</f>
        <v>185.41360797633394</v>
      </c>
      <c r="K22" s="43">
        <f t="shared" si="1"/>
        <v>185.41360797633394</v>
      </c>
      <c r="L22" s="72">
        <f t="shared" si="2"/>
        <v>97.78131912070947</v>
      </c>
    </row>
    <row r="23" spans="1:12" ht="12.75">
      <c r="A23" s="18" t="s">
        <v>56</v>
      </c>
      <c r="B23" s="120">
        <v>53501</v>
      </c>
      <c r="C23" s="19">
        <v>12000</v>
      </c>
      <c r="D23" s="19">
        <v>12650</v>
      </c>
      <c r="E23" s="73" t="s">
        <v>64</v>
      </c>
      <c r="F23" s="19"/>
      <c r="G23" s="73" t="s">
        <v>64</v>
      </c>
      <c r="H23" s="19">
        <f t="shared" si="0"/>
        <v>12650</v>
      </c>
      <c r="I23" s="19">
        <v>50033</v>
      </c>
      <c r="J23" s="43">
        <f>I23/D23*100</f>
        <v>395.5177865612648</v>
      </c>
      <c r="K23" s="43">
        <f t="shared" si="1"/>
        <v>395.5177865612648</v>
      </c>
      <c r="L23" s="72">
        <f t="shared" si="2"/>
        <v>93.51787817050149</v>
      </c>
    </row>
    <row r="24" spans="1:12" ht="12.75" customHeight="1">
      <c r="A24" s="7" t="s">
        <v>18</v>
      </c>
      <c r="B24" s="120">
        <v>5</v>
      </c>
      <c r="C24" s="19"/>
      <c r="D24" s="19"/>
      <c r="E24" s="73" t="s">
        <v>64</v>
      </c>
      <c r="F24" s="19"/>
      <c r="G24" s="73" t="s">
        <v>64</v>
      </c>
      <c r="H24" s="19">
        <f t="shared" si="0"/>
        <v>0</v>
      </c>
      <c r="I24" s="19"/>
      <c r="J24" s="43"/>
      <c r="K24" s="43"/>
      <c r="L24" s="72"/>
    </row>
    <row r="25" spans="1:12" ht="12.75" customHeight="1">
      <c r="A25" s="7" t="s">
        <v>78</v>
      </c>
      <c r="B25" s="120"/>
      <c r="C25" s="34">
        <v>15776</v>
      </c>
      <c r="D25" s="19">
        <v>15776</v>
      </c>
      <c r="E25" s="73" t="s">
        <v>64</v>
      </c>
      <c r="F25" s="19"/>
      <c r="G25" s="73" t="s">
        <v>64</v>
      </c>
      <c r="H25" s="19">
        <f t="shared" si="0"/>
        <v>15776</v>
      </c>
      <c r="I25" s="19">
        <v>0</v>
      </c>
      <c r="J25" s="43"/>
      <c r="K25" s="43"/>
      <c r="L25" s="72"/>
    </row>
    <row r="26" spans="1:12" ht="12.75" customHeight="1">
      <c r="A26" s="7" t="s">
        <v>57</v>
      </c>
      <c r="B26" s="120"/>
      <c r="C26" s="34"/>
      <c r="D26" s="19"/>
      <c r="E26" s="73" t="s">
        <v>64</v>
      </c>
      <c r="F26" s="19"/>
      <c r="G26" s="73" t="s">
        <v>64</v>
      </c>
      <c r="H26" s="19">
        <f t="shared" si="0"/>
        <v>0</v>
      </c>
      <c r="I26" s="19"/>
      <c r="J26" s="43"/>
      <c r="K26" s="43"/>
      <c r="L26" s="72"/>
    </row>
    <row r="27" spans="1:12" ht="12.75" customHeight="1">
      <c r="A27" s="21" t="s">
        <v>79</v>
      </c>
      <c r="B27" s="146">
        <v>0</v>
      </c>
      <c r="C27" s="34">
        <v>10742</v>
      </c>
      <c r="D27" s="19">
        <v>10742</v>
      </c>
      <c r="E27" s="73" t="s">
        <v>64</v>
      </c>
      <c r="F27" s="34"/>
      <c r="G27" s="73" t="s">
        <v>64</v>
      </c>
      <c r="H27" s="34">
        <f t="shared" si="0"/>
        <v>10742</v>
      </c>
      <c r="I27" s="34">
        <v>0</v>
      </c>
      <c r="J27" s="77"/>
      <c r="K27" s="77"/>
      <c r="L27" s="79"/>
    </row>
    <row r="28" spans="1:12" ht="13.5" thickBot="1">
      <c r="A28" s="5" t="s">
        <v>19</v>
      </c>
      <c r="B28" s="147">
        <v>3888</v>
      </c>
      <c r="C28" s="31">
        <v>0</v>
      </c>
      <c r="D28" s="31"/>
      <c r="E28" s="33" t="s">
        <v>64</v>
      </c>
      <c r="F28" s="31"/>
      <c r="G28" s="33" t="s">
        <v>64</v>
      </c>
      <c r="H28" s="31">
        <f t="shared" si="0"/>
        <v>0</v>
      </c>
      <c r="I28" s="31">
        <v>646</v>
      </c>
      <c r="J28" s="81"/>
      <c r="K28" s="81" t="e">
        <f t="shared" si="1"/>
        <v>#DIV/0!</v>
      </c>
      <c r="L28" s="83">
        <f t="shared" si="2"/>
        <v>16.61522633744856</v>
      </c>
    </row>
    <row r="29" spans="1:12" ht="12.75">
      <c r="A29" s="4"/>
      <c r="B29" s="28"/>
      <c r="C29" s="28"/>
      <c r="D29" s="28"/>
      <c r="E29" s="28"/>
      <c r="F29" s="28"/>
      <c r="G29" s="28"/>
      <c r="H29" s="28"/>
      <c r="I29" s="28"/>
      <c r="J29" s="124"/>
      <c r="K29" s="124"/>
      <c r="L29" s="141"/>
    </row>
    <row r="30" spans="1:12" ht="12.75">
      <c r="A30" s="20" t="s">
        <v>20</v>
      </c>
      <c r="B30" s="134">
        <f aca="true" t="shared" si="3" ref="B30:G30">B32+B38</f>
        <v>1526361</v>
      </c>
      <c r="C30" s="27">
        <f t="shared" si="3"/>
        <v>1535902</v>
      </c>
      <c r="D30" s="27">
        <f t="shared" si="3"/>
        <v>1548028</v>
      </c>
      <c r="E30" s="27">
        <f t="shared" si="3"/>
        <v>164233</v>
      </c>
      <c r="F30" s="27">
        <f t="shared" si="3"/>
        <v>0</v>
      </c>
      <c r="G30" s="27">
        <f t="shared" si="3"/>
        <v>-56447</v>
      </c>
      <c r="H30" s="27">
        <f>D30+E30+F30+G30</f>
        <v>1655814</v>
      </c>
      <c r="I30" s="27">
        <f>I32+I38</f>
        <v>1551049</v>
      </c>
      <c r="J30" s="87">
        <f>I30/D30*100</f>
        <v>100.19515150888742</v>
      </c>
      <c r="K30" s="87">
        <f>I30/H30*100</f>
        <v>93.6729004586264</v>
      </c>
      <c r="L30" s="143">
        <f>I30/B30*100</f>
        <v>101.61744174543243</v>
      </c>
    </row>
    <row r="31" spans="1:12" ht="12.75">
      <c r="A31" s="7" t="s">
        <v>21</v>
      </c>
      <c r="B31" s="19"/>
      <c r="C31" s="19"/>
      <c r="D31" s="19"/>
      <c r="E31" s="19"/>
      <c r="F31" s="19"/>
      <c r="G31" s="19"/>
      <c r="H31" s="19"/>
      <c r="I31" s="19"/>
      <c r="J31" s="43"/>
      <c r="K31" s="43"/>
      <c r="L31" s="137"/>
    </row>
    <row r="32" spans="1:12" ht="12.75">
      <c r="A32" s="20" t="s">
        <v>22</v>
      </c>
      <c r="B32" s="134">
        <f aca="true" t="shared" si="4" ref="B32:G32">B34+B35+B36</f>
        <v>136538</v>
      </c>
      <c r="C32" s="27">
        <f t="shared" si="4"/>
        <v>55138</v>
      </c>
      <c r="D32" s="27">
        <f t="shared" si="4"/>
        <v>69147</v>
      </c>
      <c r="E32" s="27">
        <f t="shared" si="4"/>
        <v>102963</v>
      </c>
      <c r="F32" s="27">
        <f t="shared" si="4"/>
        <v>0</v>
      </c>
      <c r="G32" s="27">
        <f t="shared" si="4"/>
        <v>-2500</v>
      </c>
      <c r="H32" s="27">
        <f aca="true" t="shared" si="5" ref="H32:H56">D32+E32+F32+G32</f>
        <v>169610</v>
      </c>
      <c r="I32" s="27">
        <f>I34+I35+I36</f>
        <v>141687</v>
      </c>
      <c r="J32" s="87">
        <f>I32/D32*100</f>
        <v>204.90693739424705</v>
      </c>
      <c r="K32" s="87">
        <f>I32/H32*100</f>
        <v>83.53693768056128</v>
      </c>
      <c r="L32" s="68">
        <f>I32/B32*100</f>
        <v>103.7711113389679</v>
      </c>
    </row>
    <row r="33" spans="1:12" ht="12.75">
      <c r="A33" s="7" t="s">
        <v>23</v>
      </c>
      <c r="B33" s="19"/>
      <c r="C33" s="19"/>
      <c r="D33" s="19"/>
      <c r="E33" s="19"/>
      <c r="F33" s="19"/>
      <c r="G33" s="19"/>
      <c r="H33" s="19"/>
      <c r="I33" s="19"/>
      <c r="J33" s="43"/>
      <c r="K33" s="43"/>
      <c r="L33" s="72"/>
    </row>
    <row r="34" spans="1:12" ht="12.75">
      <c r="A34" s="7" t="s">
        <v>24</v>
      </c>
      <c r="B34" s="120">
        <v>99499</v>
      </c>
      <c r="C34" s="19">
        <v>36238</v>
      </c>
      <c r="D34" s="19">
        <v>44320</v>
      </c>
      <c r="E34" s="19">
        <v>100137</v>
      </c>
      <c r="F34" s="19"/>
      <c r="G34" s="19"/>
      <c r="H34" s="19">
        <f t="shared" si="5"/>
        <v>144457</v>
      </c>
      <c r="I34" s="19">
        <v>129832</v>
      </c>
      <c r="J34" s="43">
        <f aca="true" t="shared" si="6" ref="J34:J60">I34/D34*100</f>
        <v>292.942238267148</v>
      </c>
      <c r="K34" s="43">
        <f>I34/H34*100</f>
        <v>89.87588001965983</v>
      </c>
      <c r="L34" s="72">
        <f>I34/B34*100</f>
        <v>130.48573352496004</v>
      </c>
    </row>
    <row r="35" spans="1:12" ht="12.75">
      <c r="A35" s="7" t="s">
        <v>25</v>
      </c>
      <c r="B35" s="120">
        <v>37039</v>
      </c>
      <c r="C35" s="19">
        <v>18900</v>
      </c>
      <c r="D35" s="19">
        <v>24827</v>
      </c>
      <c r="E35" s="19">
        <v>2826</v>
      </c>
      <c r="F35" s="19"/>
      <c r="G35" s="19">
        <v>-2500</v>
      </c>
      <c r="H35" s="19">
        <f t="shared" si="5"/>
        <v>25153</v>
      </c>
      <c r="I35" s="19">
        <v>11855</v>
      </c>
      <c r="J35" s="43">
        <f t="shared" si="6"/>
        <v>47.75043299633464</v>
      </c>
      <c r="K35" s="43">
        <f>I35/H35*100</f>
        <v>47.13155488410925</v>
      </c>
      <c r="L35" s="72">
        <f>I35/B35*100</f>
        <v>32.00680363940711</v>
      </c>
    </row>
    <row r="36" spans="1:12" ht="12.75">
      <c r="A36" s="8" t="s">
        <v>26</v>
      </c>
      <c r="B36" s="94"/>
      <c r="C36" s="94"/>
      <c r="D36" s="94"/>
      <c r="E36" s="94"/>
      <c r="F36" s="94"/>
      <c r="G36" s="94"/>
      <c r="H36" s="94">
        <f t="shared" si="5"/>
        <v>0</v>
      </c>
      <c r="I36" s="94"/>
      <c r="J36" s="95"/>
      <c r="K36" s="95"/>
      <c r="L36" s="68" t="e">
        <f>I36/B36*100</f>
        <v>#DIV/0!</v>
      </c>
    </row>
    <row r="37" spans="1:12" ht="12.75">
      <c r="A37" s="4"/>
      <c r="B37" s="28"/>
      <c r="C37" s="28"/>
      <c r="D37" s="28"/>
      <c r="E37" s="28"/>
      <c r="F37" s="28"/>
      <c r="G37" s="28"/>
      <c r="H37" s="28"/>
      <c r="I37" s="28"/>
      <c r="J37" s="124"/>
      <c r="K37" s="124"/>
      <c r="L37" s="86"/>
    </row>
    <row r="38" spans="1:12" ht="12.75">
      <c r="A38" s="20" t="s">
        <v>27</v>
      </c>
      <c r="B38" s="134">
        <f>B40+B43+B44+B45+B46</f>
        <v>1389823</v>
      </c>
      <c r="C38" s="27">
        <f>C40+C46+C43+C44+C45</f>
        <v>1480764</v>
      </c>
      <c r="D38" s="27">
        <f>D40+D46+D43+D44+D45</f>
        <v>1478881</v>
      </c>
      <c r="E38" s="27">
        <f>E40+E46+E43+E44+E45</f>
        <v>61270</v>
      </c>
      <c r="F38" s="27">
        <f>F40+F46+F43+F44+F45</f>
        <v>0</v>
      </c>
      <c r="G38" s="27">
        <f>G40+G46+G43+G44+G45</f>
        <v>-53947</v>
      </c>
      <c r="H38" s="27">
        <f t="shared" si="5"/>
        <v>1486204</v>
      </c>
      <c r="I38" s="27">
        <f>I40+I43+I44+I45+I46</f>
        <v>1409362</v>
      </c>
      <c r="J38" s="87">
        <f t="shared" si="6"/>
        <v>95.29921609649458</v>
      </c>
      <c r="K38" s="87">
        <f>I38/H38*100</f>
        <v>94.82964653573804</v>
      </c>
      <c r="L38" s="68">
        <f>I38/B38*100</f>
        <v>101.40586247313507</v>
      </c>
    </row>
    <row r="39" spans="1:12" ht="12.75">
      <c r="A39" s="7" t="s">
        <v>23</v>
      </c>
      <c r="B39" s="19"/>
      <c r="C39" s="19"/>
      <c r="D39" s="19"/>
      <c r="E39" s="19"/>
      <c r="F39" s="19"/>
      <c r="G39" s="19"/>
      <c r="H39" s="19"/>
      <c r="I39" s="47"/>
      <c r="J39" s="43"/>
      <c r="K39" s="43"/>
      <c r="L39" s="72"/>
    </row>
    <row r="40" spans="1:12" ht="12.75">
      <c r="A40" s="9" t="s">
        <v>28</v>
      </c>
      <c r="B40" s="36">
        <f aca="true" t="shared" si="7" ref="B40:G40">B41+B42</f>
        <v>599731</v>
      </c>
      <c r="C40" s="29">
        <f t="shared" si="7"/>
        <v>625107</v>
      </c>
      <c r="D40" s="29">
        <f t="shared" si="7"/>
        <v>625107</v>
      </c>
      <c r="E40" s="29">
        <f t="shared" si="7"/>
        <v>0</v>
      </c>
      <c r="F40" s="29">
        <f t="shared" si="7"/>
        <v>0</v>
      </c>
      <c r="G40" s="29">
        <f t="shared" si="7"/>
        <v>-7500</v>
      </c>
      <c r="H40" s="29">
        <f t="shared" si="5"/>
        <v>617607</v>
      </c>
      <c r="I40" s="29">
        <f>I41+I42</f>
        <v>601949</v>
      </c>
      <c r="J40" s="45">
        <f t="shared" si="6"/>
        <v>96.2953542353549</v>
      </c>
      <c r="K40" s="45">
        <f>I40/H40*100</f>
        <v>97.46473080777905</v>
      </c>
      <c r="L40" s="72">
        <f aca="true" t="shared" si="8" ref="L40:L60">I40/B40*100</f>
        <v>100.3698324748929</v>
      </c>
    </row>
    <row r="41" spans="1:12" ht="12.75">
      <c r="A41" s="7" t="s">
        <v>29</v>
      </c>
      <c r="B41" s="120">
        <v>592787</v>
      </c>
      <c r="C41" s="19">
        <v>607922</v>
      </c>
      <c r="D41" s="19">
        <v>607922</v>
      </c>
      <c r="E41" s="19"/>
      <c r="F41" s="19"/>
      <c r="G41" s="19"/>
      <c r="H41" s="19">
        <f t="shared" si="5"/>
        <v>607922</v>
      </c>
      <c r="I41" s="19">
        <v>596415</v>
      </c>
      <c r="J41" s="43">
        <f t="shared" si="6"/>
        <v>98.10715848414763</v>
      </c>
      <c r="K41" s="43">
        <f>I41/H41*100</f>
        <v>98.10715848414763</v>
      </c>
      <c r="L41" s="72">
        <f t="shared" si="8"/>
        <v>100.61202421780504</v>
      </c>
    </row>
    <row r="42" spans="1:12" ht="12.75">
      <c r="A42" s="16" t="s">
        <v>30</v>
      </c>
      <c r="B42" s="120">
        <v>6944</v>
      </c>
      <c r="C42" s="19">
        <v>17185</v>
      </c>
      <c r="D42" s="19">
        <v>17185</v>
      </c>
      <c r="E42" s="19"/>
      <c r="F42" s="19"/>
      <c r="G42" s="19">
        <v>-7500</v>
      </c>
      <c r="H42" s="19">
        <f t="shared" si="5"/>
        <v>9685</v>
      </c>
      <c r="I42" s="19">
        <v>5534</v>
      </c>
      <c r="J42" s="43">
        <f t="shared" si="6"/>
        <v>32.20250218213558</v>
      </c>
      <c r="K42" s="43">
        <f>I42/H42*100</f>
        <v>57.13990707279299</v>
      </c>
      <c r="L42" s="72">
        <f t="shared" si="8"/>
        <v>79.6947004608295</v>
      </c>
    </row>
    <row r="43" spans="1:15" ht="12.75">
      <c r="A43" s="10" t="s">
        <v>31</v>
      </c>
      <c r="B43" s="148">
        <v>203045</v>
      </c>
      <c r="C43" s="36">
        <v>212536</v>
      </c>
      <c r="D43" s="36">
        <v>212536</v>
      </c>
      <c r="E43" s="36"/>
      <c r="F43" s="36"/>
      <c r="G43" s="29">
        <v>-2550</v>
      </c>
      <c r="H43" s="36">
        <f t="shared" si="5"/>
        <v>209986</v>
      </c>
      <c r="I43" s="36">
        <v>203987</v>
      </c>
      <c r="J43" s="44">
        <f t="shared" si="6"/>
        <v>95.97762261452178</v>
      </c>
      <c r="K43" s="44">
        <f>I43/H43*100</f>
        <v>97.14314287619175</v>
      </c>
      <c r="L43" s="72">
        <f t="shared" si="8"/>
        <v>100.46393656578591</v>
      </c>
      <c r="O43" s="1" t="s">
        <v>52</v>
      </c>
    </row>
    <row r="44" spans="1:12" ht="12.75">
      <c r="A44" s="10" t="s">
        <v>32</v>
      </c>
      <c r="B44" s="148">
        <v>6026</v>
      </c>
      <c r="C44" s="36">
        <v>6079</v>
      </c>
      <c r="D44" s="36">
        <v>6079</v>
      </c>
      <c r="E44" s="36"/>
      <c r="F44" s="36"/>
      <c r="G44" s="29"/>
      <c r="H44" s="36">
        <f t="shared" si="5"/>
        <v>6079</v>
      </c>
      <c r="I44" s="36">
        <v>6079</v>
      </c>
      <c r="J44" s="44">
        <f t="shared" si="6"/>
        <v>100</v>
      </c>
      <c r="K44" s="44">
        <f>I44/H44*100</f>
        <v>100</v>
      </c>
      <c r="L44" s="72">
        <f t="shared" si="8"/>
        <v>100.87952207102555</v>
      </c>
    </row>
    <row r="45" spans="1:12" ht="12.75">
      <c r="A45" s="10" t="s">
        <v>49</v>
      </c>
      <c r="B45" s="36">
        <v>0</v>
      </c>
      <c r="C45" s="29"/>
      <c r="D45" s="36"/>
      <c r="E45" s="36"/>
      <c r="F45" s="36"/>
      <c r="G45" s="29"/>
      <c r="H45" s="36">
        <f t="shared" si="5"/>
        <v>0</v>
      </c>
      <c r="I45" s="36">
        <v>0</v>
      </c>
      <c r="J45" s="44"/>
      <c r="K45" s="44"/>
      <c r="L45" s="72"/>
    </row>
    <row r="46" spans="1:12" ht="12.75">
      <c r="A46" s="10" t="s">
        <v>34</v>
      </c>
      <c r="B46" s="36">
        <f aca="true" t="shared" si="9" ref="B46:G46">B48+B49+B50+B52+B56</f>
        <v>581021</v>
      </c>
      <c r="C46" s="29">
        <f t="shared" si="9"/>
        <v>637042</v>
      </c>
      <c r="D46" s="29">
        <f t="shared" si="9"/>
        <v>635159</v>
      </c>
      <c r="E46" s="29">
        <f t="shared" si="9"/>
        <v>61270</v>
      </c>
      <c r="F46" s="29">
        <f t="shared" si="9"/>
        <v>0</v>
      </c>
      <c r="G46" s="29">
        <f t="shared" si="9"/>
        <v>-43897</v>
      </c>
      <c r="H46" s="29">
        <f t="shared" si="5"/>
        <v>652532</v>
      </c>
      <c r="I46" s="29">
        <f>I48+I49+I50+I52+I56</f>
        <v>597347</v>
      </c>
      <c r="J46" s="45">
        <f t="shared" si="6"/>
        <v>94.04684496322969</v>
      </c>
      <c r="K46" s="45">
        <f>I46/H46*100</f>
        <v>91.54294348782895</v>
      </c>
      <c r="L46" s="72">
        <f t="shared" si="8"/>
        <v>102.809881226324</v>
      </c>
    </row>
    <row r="47" spans="1:12" ht="12.75">
      <c r="A47" s="7" t="s">
        <v>35</v>
      </c>
      <c r="B47" s="19"/>
      <c r="C47" s="19"/>
      <c r="D47" s="19"/>
      <c r="E47" s="19"/>
      <c r="F47" s="19"/>
      <c r="G47" s="19"/>
      <c r="H47" s="19"/>
      <c r="I47" s="19"/>
      <c r="J47" s="43"/>
      <c r="K47" s="43"/>
      <c r="L47" s="72"/>
    </row>
    <row r="48" spans="1:12" ht="12.75">
      <c r="A48" s="7" t="s">
        <v>36</v>
      </c>
      <c r="B48" s="149">
        <v>23362</v>
      </c>
      <c r="C48" s="41">
        <v>13750</v>
      </c>
      <c r="D48" s="41">
        <v>24010</v>
      </c>
      <c r="E48" s="41">
        <v>910</v>
      </c>
      <c r="F48" s="41"/>
      <c r="G48" s="19"/>
      <c r="H48" s="41">
        <f t="shared" si="5"/>
        <v>24920</v>
      </c>
      <c r="I48" s="41">
        <v>22422</v>
      </c>
      <c r="J48" s="75">
        <f t="shared" si="6"/>
        <v>93.38608912952935</v>
      </c>
      <c r="K48" s="43">
        <f aca="true" t="shared" si="10" ref="K48:K60">I48/H48*100</f>
        <v>89.97592295345105</v>
      </c>
      <c r="L48" s="72">
        <f t="shared" si="8"/>
        <v>95.97637188596867</v>
      </c>
    </row>
    <row r="49" spans="1:12" ht="12.75">
      <c r="A49" s="7" t="s">
        <v>37</v>
      </c>
      <c r="B49" s="120">
        <v>50147</v>
      </c>
      <c r="C49" s="19">
        <v>58652</v>
      </c>
      <c r="D49" s="19">
        <v>54859</v>
      </c>
      <c r="E49" s="19"/>
      <c r="F49" s="19"/>
      <c r="G49" s="19"/>
      <c r="H49" s="19">
        <f t="shared" si="5"/>
        <v>54859</v>
      </c>
      <c r="I49" s="19">
        <v>50063</v>
      </c>
      <c r="J49" s="43">
        <f t="shared" si="6"/>
        <v>91.25758763375198</v>
      </c>
      <c r="K49" s="43">
        <f t="shared" si="10"/>
        <v>91.25758763375198</v>
      </c>
      <c r="L49" s="72">
        <f t="shared" si="8"/>
        <v>99.83249247213193</v>
      </c>
    </row>
    <row r="50" spans="1:12" ht="12.75">
      <c r="A50" s="7" t="s">
        <v>38</v>
      </c>
      <c r="B50" s="120">
        <v>414861</v>
      </c>
      <c r="C50" s="19">
        <v>497313</v>
      </c>
      <c r="D50" s="19">
        <v>478837</v>
      </c>
      <c r="E50" s="19">
        <v>49941</v>
      </c>
      <c r="F50" s="19"/>
      <c r="G50" s="19">
        <v>-40537</v>
      </c>
      <c r="H50" s="19">
        <f t="shared" si="5"/>
        <v>488241</v>
      </c>
      <c r="I50" s="19">
        <v>443291</v>
      </c>
      <c r="J50" s="43">
        <f t="shared" si="6"/>
        <v>92.57659704659415</v>
      </c>
      <c r="K50" s="43">
        <f t="shared" si="10"/>
        <v>90.79348108823307</v>
      </c>
      <c r="L50" s="72">
        <f t="shared" si="8"/>
        <v>106.85289771754879</v>
      </c>
    </row>
    <row r="51" spans="1:12" ht="12.75">
      <c r="A51" s="7" t="s">
        <v>39</v>
      </c>
      <c r="B51" s="120">
        <v>6033</v>
      </c>
      <c r="C51" s="19">
        <f>4684+1</f>
        <v>4685</v>
      </c>
      <c r="D51" s="19">
        <v>6011</v>
      </c>
      <c r="E51" s="19"/>
      <c r="F51" s="19"/>
      <c r="G51" s="19"/>
      <c r="H51" s="19">
        <f t="shared" si="5"/>
        <v>6011</v>
      </c>
      <c r="I51" s="19">
        <v>5875</v>
      </c>
      <c r="J51" s="43">
        <f t="shared" si="6"/>
        <v>97.7374812843121</v>
      </c>
      <c r="K51" s="43">
        <f t="shared" si="10"/>
        <v>97.7374812843121</v>
      </c>
      <c r="L51" s="72">
        <f t="shared" si="8"/>
        <v>97.38107077739102</v>
      </c>
    </row>
    <row r="52" spans="1:12" ht="12.75">
      <c r="A52" s="7" t="s">
        <v>40</v>
      </c>
      <c r="B52" s="120">
        <v>33955</v>
      </c>
      <c r="C52" s="19">
        <v>33360</v>
      </c>
      <c r="D52" s="19">
        <v>31674</v>
      </c>
      <c r="E52" s="19">
        <v>10195</v>
      </c>
      <c r="F52" s="19"/>
      <c r="G52" s="19">
        <v>-2560</v>
      </c>
      <c r="H52" s="19">
        <f t="shared" si="5"/>
        <v>39309</v>
      </c>
      <c r="I52" s="19">
        <v>37317</v>
      </c>
      <c r="J52" s="43">
        <f t="shared" si="6"/>
        <v>117.815874218602</v>
      </c>
      <c r="K52" s="43">
        <f t="shared" si="10"/>
        <v>94.9324582156758</v>
      </c>
      <c r="L52" s="72">
        <f t="shared" si="8"/>
        <v>109.90134000883522</v>
      </c>
    </row>
    <row r="53" spans="1:12" ht="12.75">
      <c r="A53" s="7" t="s">
        <v>41</v>
      </c>
      <c r="B53" s="120">
        <v>31493</v>
      </c>
      <c r="C53" s="19">
        <v>27105</v>
      </c>
      <c r="D53" s="19">
        <v>27835</v>
      </c>
      <c r="E53" s="19">
        <v>10192</v>
      </c>
      <c r="F53" s="19"/>
      <c r="G53" s="19">
        <v>-2560</v>
      </c>
      <c r="H53" s="19">
        <f t="shared" si="5"/>
        <v>35467</v>
      </c>
      <c r="I53" s="19">
        <v>33990</v>
      </c>
      <c r="J53" s="43">
        <f t="shared" si="6"/>
        <v>122.11244835638584</v>
      </c>
      <c r="K53" s="43">
        <f t="shared" si="10"/>
        <v>95.83556545521189</v>
      </c>
      <c r="L53" s="72">
        <f t="shared" si="8"/>
        <v>107.92874607055536</v>
      </c>
    </row>
    <row r="54" spans="1:12" ht="12.75">
      <c r="A54" s="7" t="s">
        <v>42</v>
      </c>
      <c r="B54" s="120">
        <v>0</v>
      </c>
      <c r="C54" s="19">
        <v>0</v>
      </c>
      <c r="D54" s="19">
        <v>137</v>
      </c>
      <c r="E54" s="19">
        <v>3</v>
      </c>
      <c r="F54" s="19"/>
      <c r="G54" s="19"/>
      <c r="H54" s="19">
        <f t="shared" si="5"/>
        <v>140</v>
      </c>
      <c r="I54" s="19">
        <v>79</v>
      </c>
      <c r="J54" s="43">
        <f t="shared" si="6"/>
        <v>57.66423357664233</v>
      </c>
      <c r="K54" s="43">
        <f t="shared" si="10"/>
        <v>56.42857142857143</v>
      </c>
      <c r="L54" s="72" t="e">
        <f t="shared" si="8"/>
        <v>#DIV/0!</v>
      </c>
    </row>
    <row r="55" spans="1:12" ht="12.75">
      <c r="A55" s="7" t="s">
        <v>43</v>
      </c>
      <c r="B55" s="120">
        <v>1603</v>
      </c>
      <c r="C55" s="19">
        <v>3028</v>
      </c>
      <c r="D55" s="19">
        <v>2253</v>
      </c>
      <c r="E55" s="19"/>
      <c r="F55" s="19"/>
      <c r="G55" s="19"/>
      <c r="H55" s="19">
        <f t="shared" si="5"/>
        <v>2253</v>
      </c>
      <c r="I55" s="19">
        <v>1882</v>
      </c>
      <c r="J55" s="43">
        <f t="shared" si="6"/>
        <v>83.53306702174878</v>
      </c>
      <c r="K55" s="43">
        <f t="shared" si="10"/>
        <v>83.53306702174878</v>
      </c>
      <c r="L55" s="72">
        <f t="shared" si="8"/>
        <v>117.40486587648161</v>
      </c>
    </row>
    <row r="56" spans="1:12" ht="13.5" thickBot="1">
      <c r="A56" s="15" t="s">
        <v>44</v>
      </c>
      <c r="B56" s="150">
        <v>58696</v>
      </c>
      <c r="C56" s="30">
        <v>33967</v>
      </c>
      <c r="D56" s="30">
        <v>45779</v>
      </c>
      <c r="E56" s="30">
        <v>224</v>
      </c>
      <c r="F56" s="30"/>
      <c r="G56" s="30">
        <v>-800</v>
      </c>
      <c r="H56" s="30">
        <f t="shared" si="5"/>
        <v>45203</v>
      </c>
      <c r="I56" s="30">
        <v>44254</v>
      </c>
      <c r="J56" s="46">
        <f t="shared" si="6"/>
        <v>96.66877826077459</v>
      </c>
      <c r="K56" s="46">
        <f t="shared" si="10"/>
        <v>97.90058181979072</v>
      </c>
      <c r="L56" s="105">
        <f t="shared" si="8"/>
        <v>75.39525691699605</v>
      </c>
    </row>
    <row r="57" spans="1:12" ht="12.75">
      <c r="A57" s="7" t="s">
        <v>45</v>
      </c>
      <c r="B57" s="120">
        <v>1755</v>
      </c>
      <c r="C57" s="19">
        <v>1854</v>
      </c>
      <c r="D57" s="19">
        <v>1854</v>
      </c>
      <c r="E57" s="19"/>
      <c r="F57" s="19"/>
      <c r="G57" s="19"/>
      <c r="H57" s="19">
        <f>D57+E57+F57</f>
        <v>1854</v>
      </c>
      <c r="I57" s="19">
        <v>1743</v>
      </c>
      <c r="J57" s="43">
        <f t="shared" si="6"/>
        <v>94.01294498381877</v>
      </c>
      <c r="K57" s="43">
        <f t="shared" si="10"/>
        <v>94.01294498381877</v>
      </c>
      <c r="L57" s="72">
        <f t="shared" si="8"/>
        <v>99.31623931623932</v>
      </c>
    </row>
    <row r="58" spans="1:12" ht="12.75" hidden="1">
      <c r="A58" s="7" t="s">
        <v>87</v>
      </c>
      <c r="B58" s="120"/>
      <c r="C58" s="19"/>
      <c r="D58" s="120"/>
      <c r="E58" s="19"/>
      <c r="F58" s="19"/>
      <c r="G58" s="19"/>
      <c r="H58" s="19">
        <f>D58+E58+F58</f>
        <v>0</v>
      </c>
      <c r="I58" s="120"/>
      <c r="J58" s="43" t="e">
        <f t="shared" si="6"/>
        <v>#DIV/0!</v>
      </c>
      <c r="K58" s="43" t="e">
        <f t="shared" si="10"/>
        <v>#DIV/0!</v>
      </c>
      <c r="L58" s="72" t="e">
        <f t="shared" si="8"/>
        <v>#DIV/0!</v>
      </c>
    </row>
    <row r="59" spans="1:12" ht="12.75">
      <c r="A59" s="7" t="s">
        <v>46</v>
      </c>
      <c r="B59" s="19">
        <f>B41/B57/12*1000</f>
        <v>28147.53086419753</v>
      </c>
      <c r="C59" s="19">
        <f>C41/C57/12*1000</f>
        <v>27324.793239841783</v>
      </c>
      <c r="D59" s="19">
        <f>D41/D57/12*1000</f>
        <v>27324.793239841783</v>
      </c>
      <c r="E59" s="19"/>
      <c r="F59" s="19"/>
      <c r="G59" s="19"/>
      <c r="H59" s="19">
        <f>H41/H57/12*1000</f>
        <v>27324.793239841783</v>
      </c>
      <c r="I59" s="19">
        <f>I41/I57/12*1000</f>
        <v>28514.77337923121</v>
      </c>
      <c r="J59" s="43">
        <f t="shared" si="6"/>
        <v>104.35494654596083</v>
      </c>
      <c r="K59" s="43">
        <f t="shared" si="10"/>
        <v>104.35494654596083</v>
      </c>
      <c r="L59" s="72">
        <f t="shared" si="8"/>
        <v>101.30470596801369</v>
      </c>
    </row>
    <row r="60" spans="1:13" ht="13.5" thickBot="1">
      <c r="A60" s="5" t="s">
        <v>47</v>
      </c>
      <c r="B60" s="31">
        <f>B46/B57*1000</f>
        <v>331066.0968660969</v>
      </c>
      <c r="C60" s="31">
        <f>C46/C57*1000</f>
        <v>343604.09924487595</v>
      </c>
      <c r="D60" s="31">
        <f>D46/D57*1000</f>
        <v>342588.4573894282</v>
      </c>
      <c r="E60" s="31"/>
      <c r="F60" s="31"/>
      <c r="G60" s="31"/>
      <c r="H60" s="31">
        <f>H46/H57*1000</f>
        <v>351959.00755124056</v>
      </c>
      <c r="I60" s="31">
        <f>ROUND(I46/I57*1000,0)</f>
        <v>342712</v>
      </c>
      <c r="J60" s="81">
        <f t="shared" si="6"/>
        <v>100.03606152160327</v>
      </c>
      <c r="K60" s="81">
        <f t="shared" si="10"/>
        <v>97.37270325439978</v>
      </c>
      <c r="L60" s="83">
        <f t="shared" si="8"/>
        <v>103.51769729493425</v>
      </c>
      <c r="M60" s="11"/>
    </row>
    <row r="61" spans="9:10" ht="12.75">
      <c r="I61" s="26"/>
      <c r="J61" s="26"/>
    </row>
    <row r="62" ht="12.75">
      <c r="A62" s="1" t="s">
        <v>62</v>
      </c>
    </row>
    <row r="63" spans="1:2" ht="12.75">
      <c r="A63" s="35" t="s">
        <v>73</v>
      </c>
      <c r="B63" s="26"/>
    </row>
    <row r="64" ht="12.75">
      <c r="A64" s="35" t="s">
        <v>67</v>
      </c>
    </row>
    <row r="65" ht="12.75">
      <c r="A65" s="35" t="s">
        <v>74</v>
      </c>
    </row>
    <row r="66" ht="12.75">
      <c r="A66" s="1" t="s">
        <v>69</v>
      </c>
    </row>
    <row r="67" ht="12.75">
      <c r="A67" s="1" t="s">
        <v>72</v>
      </c>
    </row>
    <row r="68" spans="1:11" ht="12.75">
      <c r="A68" s="180" t="s">
        <v>68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</sheetData>
  <sheetProtection/>
  <mergeCells count="1">
    <mergeCell ref="A68:K68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xSplit="1" ySplit="8" topLeftCell="B9" activePane="bottomRight" state="frozen"/>
      <selection pane="topLeft" activeCell="N33" sqref="N33"/>
      <selection pane="topRight" activeCell="N33" sqref="N33"/>
      <selection pane="bottomLeft" activeCell="N33" sqref="N33"/>
      <selection pane="bottomRight" activeCell="N33" sqref="N33"/>
    </sheetView>
  </sheetViews>
  <sheetFormatPr defaultColWidth="9.125" defaultRowHeight="12.75"/>
  <cols>
    <col min="1" max="1" width="33.125" style="1" customWidth="1"/>
    <col min="2" max="2" width="10.125" style="14" customWidth="1"/>
    <col min="3" max="3" width="9.25390625" style="1" customWidth="1"/>
    <col min="4" max="4" width="9.75390625" style="1" customWidth="1"/>
    <col min="5" max="5" width="10.625" style="1" customWidth="1"/>
    <col min="6" max="6" width="8.00390625" style="1" customWidth="1"/>
    <col min="7" max="7" width="11.125" style="1" customWidth="1"/>
    <col min="8" max="8" width="10.125" style="1" customWidth="1"/>
    <col min="9" max="10" width="10.00390625" style="1" customWidth="1"/>
    <col min="11" max="11" width="8.00390625" style="1" customWidth="1"/>
    <col min="12" max="12" width="8.375" style="1" customWidth="1"/>
    <col min="13" max="16384" width="9.125" style="1" customWidth="1"/>
  </cols>
  <sheetData>
    <row r="1" spans="1:11" ht="18.75">
      <c r="A1" s="179" t="s">
        <v>77</v>
      </c>
      <c r="B1" s="13"/>
      <c r="K1" s="176" t="s">
        <v>95</v>
      </c>
    </row>
    <row r="2" ht="12.75">
      <c r="A2" s="1" t="s">
        <v>90</v>
      </c>
    </row>
    <row r="3" spans="9:12" ht="13.5" thickBot="1">
      <c r="I3" s="2"/>
      <c r="J3" s="2"/>
      <c r="L3" s="12"/>
    </row>
    <row r="4" spans="1:12" ht="12.75">
      <c r="A4" s="3"/>
      <c r="B4" s="161">
        <v>2011</v>
      </c>
      <c r="C4" s="52"/>
      <c r="D4" s="52">
        <v>2012</v>
      </c>
      <c r="E4" s="52"/>
      <c r="F4" s="52"/>
      <c r="G4" s="52"/>
      <c r="H4" s="52"/>
      <c r="I4" s="52"/>
      <c r="J4" s="52"/>
      <c r="K4" s="53"/>
      <c r="L4" s="54" t="s">
        <v>82</v>
      </c>
    </row>
    <row r="5" spans="1:12" ht="12.75">
      <c r="A5" s="4" t="s">
        <v>0</v>
      </c>
      <c r="B5" s="32" t="s">
        <v>1</v>
      </c>
      <c r="C5" s="55" t="s">
        <v>89</v>
      </c>
      <c r="D5" s="56"/>
      <c r="E5" s="57"/>
      <c r="F5" s="57"/>
      <c r="G5" s="57"/>
      <c r="H5" s="57"/>
      <c r="I5" s="58" t="s">
        <v>1</v>
      </c>
      <c r="J5" s="58" t="s">
        <v>2</v>
      </c>
      <c r="K5" s="58" t="s">
        <v>2</v>
      </c>
      <c r="L5" s="54" t="s">
        <v>3</v>
      </c>
    </row>
    <row r="6" spans="1:12" ht="13.5" thickBot="1">
      <c r="A6" s="5"/>
      <c r="B6" s="59" t="s">
        <v>88</v>
      </c>
      <c r="C6" s="60" t="s">
        <v>4</v>
      </c>
      <c r="D6" s="60" t="s">
        <v>63</v>
      </c>
      <c r="E6" s="61" t="s">
        <v>60</v>
      </c>
      <c r="F6" s="61" t="s">
        <v>61</v>
      </c>
      <c r="G6" s="61" t="s">
        <v>83</v>
      </c>
      <c r="H6" s="61" t="s">
        <v>65</v>
      </c>
      <c r="I6" s="59" t="s">
        <v>88</v>
      </c>
      <c r="J6" s="60" t="s">
        <v>80</v>
      </c>
      <c r="K6" s="60" t="s">
        <v>66</v>
      </c>
      <c r="L6" s="164" t="s">
        <v>5</v>
      </c>
    </row>
    <row r="7" spans="1:12" ht="13.5" thickBot="1">
      <c r="A7" s="5" t="s">
        <v>6</v>
      </c>
      <c r="B7" s="3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3" t="s">
        <v>84</v>
      </c>
      <c r="K7" s="33" t="s">
        <v>85</v>
      </c>
      <c r="L7" s="63" t="s">
        <v>86</v>
      </c>
    </row>
    <row r="8" spans="1:12" ht="12.75">
      <c r="A8" s="8" t="s">
        <v>7</v>
      </c>
      <c r="B8" s="134">
        <f>SUM(B10:B28)</f>
        <v>688</v>
      </c>
      <c r="C8" s="27">
        <f>SUM(C10:C28)</f>
        <v>140</v>
      </c>
      <c r="D8" s="122">
        <f>SUM(D10:D28)</f>
        <v>140</v>
      </c>
      <c r="E8" s="135" t="s">
        <v>64</v>
      </c>
      <c r="F8" s="122">
        <f>SUM(F10:F28)</f>
        <v>0</v>
      </c>
      <c r="G8" s="135" t="s">
        <v>64</v>
      </c>
      <c r="H8" s="122">
        <f>D8+F8</f>
        <v>140</v>
      </c>
      <c r="I8" s="122">
        <f>I10+I12+I13+I14+I15+I16+I17+I18+I19+I20+I21+I22+I23+I25+I26+I27+I28</f>
        <v>47.894</v>
      </c>
      <c r="J8" s="136">
        <f>I8/D8*100</f>
        <v>34.21</v>
      </c>
      <c r="K8" s="87">
        <f>I8/H8*100</f>
        <v>34.21</v>
      </c>
      <c r="L8" s="68">
        <f>I8/B8*100</f>
        <v>6.961337209302325</v>
      </c>
    </row>
    <row r="9" spans="1:14" ht="12.75">
      <c r="A9" s="7" t="s">
        <v>8</v>
      </c>
      <c r="B9" s="19"/>
      <c r="C9" s="19"/>
      <c r="D9" s="19"/>
      <c r="E9" s="73"/>
      <c r="F9" s="19"/>
      <c r="G9" s="73"/>
      <c r="H9" s="19"/>
      <c r="I9" s="19"/>
      <c r="J9" s="19"/>
      <c r="K9" s="43"/>
      <c r="L9" s="137"/>
      <c r="N9" s="14"/>
    </row>
    <row r="10" spans="1:12" ht="12.75">
      <c r="A10" s="21" t="s">
        <v>58</v>
      </c>
      <c r="B10" s="19"/>
      <c r="C10" s="19"/>
      <c r="D10" s="19"/>
      <c r="E10" s="73" t="s">
        <v>64</v>
      </c>
      <c r="F10" s="19"/>
      <c r="G10" s="73" t="s">
        <v>64</v>
      </c>
      <c r="H10" s="19">
        <f aca="true" t="shared" si="0" ref="H10:H28">D10+F10</f>
        <v>0</v>
      </c>
      <c r="I10" s="19"/>
      <c r="J10" s="19"/>
      <c r="K10" s="43"/>
      <c r="L10" s="137"/>
    </row>
    <row r="11" spans="1:12" ht="12.75">
      <c r="A11" s="21" t="s">
        <v>9</v>
      </c>
      <c r="B11" s="19"/>
      <c r="C11" s="19"/>
      <c r="D11" s="19"/>
      <c r="E11" s="73" t="s">
        <v>64</v>
      </c>
      <c r="F11" s="19"/>
      <c r="G11" s="73" t="s">
        <v>64</v>
      </c>
      <c r="H11" s="19">
        <f t="shared" si="0"/>
        <v>0</v>
      </c>
      <c r="I11" s="19"/>
      <c r="J11" s="19"/>
      <c r="K11" s="43"/>
      <c r="L11" s="137"/>
    </row>
    <row r="12" spans="1:14" ht="12.75">
      <c r="A12" s="21" t="s">
        <v>10</v>
      </c>
      <c r="B12" s="19"/>
      <c r="C12" s="19"/>
      <c r="D12" s="19"/>
      <c r="E12" s="73" t="s">
        <v>64</v>
      </c>
      <c r="F12" s="19"/>
      <c r="G12" s="73" t="s">
        <v>64</v>
      </c>
      <c r="H12" s="19">
        <f t="shared" si="0"/>
        <v>0</v>
      </c>
      <c r="I12" s="19"/>
      <c r="J12" s="19"/>
      <c r="K12" s="43"/>
      <c r="L12" s="137"/>
      <c r="N12" s="14"/>
    </row>
    <row r="13" spans="1:14" ht="12.75">
      <c r="A13" s="7" t="s">
        <v>11</v>
      </c>
      <c r="B13" s="19"/>
      <c r="C13" s="19"/>
      <c r="D13" s="19"/>
      <c r="E13" s="73" t="s">
        <v>64</v>
      </c>
      <c r="F13" s="19"/>
      <c r="G13" s="73" t="s">
        <v>64</v>
      </c>
      <c r="H13" s="19">
        <f t="shared" si="0"/>
        <v>0</v>
      </c>
      <c r="I13" s="19"/>
      <c r="J13" s="19"/>
      <c r="K13" s="43"/>
      <c r="L13" s="137"/>
      <c r="M13" s="37"/>
      <c r="N13" s="37"/>
    </row>
    <row r="14" spans="1:14" ht="12.75">
      <c r="A14" s="17" t="s">
        <v>54</v>
      </c>
      <c r="B14" s="19"/>
      <c r="C14" s="19"/>
      <c r="D14" s="19"/>
      <c r="E14" s="73" t="s">
        <v>64</v>
      </c>
      <c r="F14" s="19"/>
      <c r="G14" s="73" t="s">
        <v>64</v>
      </c>
      <c r="H14" s="19">
        <f t="shared" si="0"/>
        <v>0</v>
      </c>
      <c r="I14" s="19"/>
      <c r="J14" s="19"/>
      <c r="K14" s="43"/>
      <c r="L14" s="137"/>
      <c r="M14" s="37"/>
      <c r="N14" s="37"/>
    </row>
    <row r="15" spans="1:14" ht="12.75">
      <c r="A15" s="7" t="s">
        <v>12</v>
      </c>
      <c r="B15" s="19"/>
      <c r="C15" s="19"/>
      <c r="D15" s="19"/>
      <c r="E15" s="73" t="s">
        <v>64</v>
      </c>
      <c r="F15" s="19"/>
      <c r="G15" s="73" t="s">
        <v>64</v>
      </c>
      <c r="H15" s="19">
        <f t="shared" si="0"/>
        <v>0</v>
      </c>
      <c r="I15" s="19"/>
      <c r="J15" s="19"/>
      <c r="K15" s="43"/>
      <c r="L15" s="137"/>
      <c r="M15" s="107"/>
      <c r="N15" s="37"/>
    </row>
    <row r="16" spans="1:14" ht="12.75">
      <c r="A16" s="7" t="s">
        <v>13</v>
      </c>
      <c r="B16" s="19">
        <v>0</v>
      </c>
      <c r="C16" s="19"/>
      <c r="D16" s="19"/>
      <c r="E16" s="73" t="s">
        <v>64</v>
      </c>
      <c r="F16" s="19"/>
      <c r="G16" s="73" t="s">
        <v>64</v>
      </c>
      <c r="H16" s="19">
        <f t="shared" si="0"/>
        <v>0</v>
      </c>
      <c r="I16" s="19">
        <v>0.062</v>
      </c>
      <c r="J16" s="19"/>
      <c r="K16" s="43"/>
      <c r="L16" s="137"/>
      <c r="M16" s="37"/>
      <c r="N16" s="37"/>
    </row>
    <row r="17" spans="1:14" ht="12.75">
      <c r="A17" s="7" t="s">
        <v>14</v>
      </c>
      <c r="B17" s="19">
        <v>673</v>
      </c>
      <c r="C17" s="19">
        <v>140</v>
      </c>
      <c r="D17" s="19">
        <v>140</v>
      </c>
      <c r="E17" s="73" t="s">
        <v>64</v>
      </c>
      <c r="F17" s="19"/>
      <c r="G17" s="73" t="s">
        <v>64</v>
      </c>
      <c r="H17" s="19">
        <f t="shared" si="0"/>
        <v>140</v>
      </c>
      <c r="I17" s="19">
        <v>30</v>
      </c>
      <c r="J17" s="43">
        <f>I17/D17*100</f>
        <v>21.428571428571427</v>
      </c>
      <c r="K17" s="43">
        <f>I17/H17*100</f>
        <v>21.428571428571427</v>
      </c>
      <c r="L17" s="138">
        <f>I17/B17*100</f>
        <v>4.457652303120357</v>
      </c>
      <c r="M17" s="37"/>
      <c r="N17" s="37"/>
    </row>
    <row r="18" spans="1:14" ht="12.75">
      <c r="A18" s="7" t="s">
        <v>15</v>
      </c>
      <c r="B18" s="19"/>
      <c r="C18" s="19"/>
      <c r="D18" s="19"/>
      <c r="E18" s="73" t="s">
        <v>64</v>
      </c>
      <c r="F18" s="19"/>
      <c r="G18" s="73" t="s">
        <v>64</v>
      </c>
      <c r="H18" s="19">
        <f t="shared" si="0"/>
        <v>0</v>
      </c>
      <c r="I18" s="19"/>
      <c r="J18" s="19"/>
      <c r="K18" s="43"/>
      <c r="L18" s="137"/>
      <c r="M18" s="37"/>
      <c r="N18" s="37"/>
    </row>
    <row r="19" spans="1:14" ht="12.75">
      <c r="A19" s="7" t="s">
        <v>16</v>
      </c>
      <c r="B19" s="19">
        <v>15</v>
      </c>
      <c r="C19" s="19">
        <v>0</v>
      </c>
      <c r="D19" s="19">
        <v>0</v>
      </c>
      <c r="E19" s="73" t="s">
        <v>64</v>
      </c>
      <c r="F19" s="19"/>
      <c r="G19" s="73" t="s">
        <v>64</v>
      </c>
      <c r="H19" s="19">
        <f t="shared" si="0"/>
        <v>0</v>
      </c>
      <c r="I19" s="19">
        <v>12</v>
      </c>
      <c r="J19" s="43"/>
      <c r="K19" s="43"/>
      <c r="L19" s="138">
        <f>I19/B19*100</f>
        <v>80</v>
      </c>
      <c r="M19" s="37"/>
      <c r="N19" s="37"/>
    </row>
    <row r="20" spans="1:12" ht="12.75">
      <c r="A20" s="7" t="s">
        <v>59</v>
      </c>
      <c r="B20" s="19"/>
      <c r="C20" s="19"/>
      <c r="D20" s="19"/>
      <c r="E20" s="73" t="s">
        <v>64</v>
      </c>
      <c r="F20" s="19"/>
      <c r="G20" s="73" t="s">
        <v>64</v>
      </c>
      <c r="H20" s="19">
        <f t="shared" si="0"/>
        <v>0</v>
      </c>
      <c r="I20" s="19"/>
      <c r="J20" s="19"/>
      <c r="K20" s="43"/>
      <c r="L20" s="137"/>
    </row>
    <row r="21" spans="1:12" ht="12.75">
      <c r="A21" s="18" t="s">
        <v>55</v>
      </c>
      <c r="B21" s="19"/>
      <c r="C21" s="19"/>
      <c r="D21" s="19"/>
      <c r="E21" s="73" t="s">
        <v>64</v>
      </c>
      <c r="F21" s="19"/>
      <c r="G21" s="73" t="s">
        <v>64</v>
      </c>
      <c r="H21" s="19">
        <f t="shared" si="0"/>
        <v>0</v>
      </c>
      <c r="I21" s="19"/>
      <c r="J21" s="19"/>
      <c r="K21" s="43"/>
      <c r="L21" s="137"/>
    </row>
    <row r="22" spans="1:12" ht="12.75">
      <c r="A22" s="7" t="s">
        <v>17</v>
      </c>
      <c r="B22" s="19"/>
      <c r="C22" s="19"/>
      <c r="D22" s="19"/>
      <c r="E22" s="73" t="s">
        <v>64</v>
      </c>
      <c r="F22" s="19"/>
      <c r="G22" s="73" t="s">
        <v>64</v>
      </c>
      <c r="H22" s="19">
        <f t="shared" si="0"/>
        <v>0</v>
      </c>
      <c r="I22" s="19"/>
      <c r="J22" s="19"/>
      <c r="K22" s="43"/>
      <c r="L22" s="137"/>
    </row>
    <row r="23" spans="1:12" ht="12.75">
      <c r="A23" s="18" t="s">
        <v>56</v>
      </c>
      <c r="B23" s="19"/>
      <c r="C23" s="19"/>
      <c r="D23" s="19"/>
      <c r="E23" s="73" t="s">
        <v>64</v>
      </c>
      <c r="F23" s="19"/>
      <c r="G23" s="73" t="s">
        <v>64</v>
      </c>
      <c r="H23" s="19">
        <f t="shared" si="0"/>
        <v>0</v>
      </c>
      <c r="I23" s="19"/>
      <c r="J23" s="19"/>
      <c r="K23" s="43"/>
      <c r="L23" s="137"/>
    </row>
    <row r="24" spans="1:12" ht="12.75" customHeight="1">
      <c r="A24" s="7" t="s">
        <v>18</v>
      </c>
      <c r="B24" s="19"/>
      <c r="C24" s="19"/>
      <c r="D24" s="19"/>
      <c r="E24" s="73" t="s">
        <v>64</v>
      </c>
      <c r="F24" s="19"/>
      <c r="G24" s="73" t="s">
        <v>64</v>
      </c>
      <c r="H24" s="19">
        <f t="shared" si="0"/>
        <v>0</v>
      </c>
      <c r="I24" s="19"/>
      <c r="J24" s="19"/>
      <c r="K24" s="43"/>
      <c r="L24" s="137"/>
    </row>
    <row r="25" spans="1:12" ht="12.75" customHeight="1">
      <c r="A25" s="7" t="s">
        <v>78</v>
      </c>
      <c r="B25" s="19"/>
      <c r="C25" s="19"/>
      <c r="D25" s="19"/>
      <c r="E25" s="73" t="s">
        <v>64</v>
      </c>
      <c r="F25" s="19"/>
      <c r="G25" s="73" t="s">
        <v>64</v>
      </c>
      <c r="H25" s="19">
        <f t="shared" si="0"/>
        <v>0</v>
      </c>
      <c r="I25" s="19"/>
      <c r="J25" s="19"/>
      <c r="K25" s="43"/>
      <c r="L25" s="137"/>
    </row>
    <row r="26" spans="1:12" ht="12.75" customHeight="1">
      <c r="A26" s="7" t="s">
        <v>57</v>
      </c>
      <c r="B26" s="19"/>
      <c r="C26" s="19"/>
      <c r="D26" s="19"/>
      <c r="E26" s="73" t="s">
        <v>64</v>
      </c>
      <c r="F26" s="19"/>
      <c r="G26" s="73" t="s">
        <v>64</v>
      </c>
      <c r="H26" s="19">
        <f t="shared" si="0"/>
        <v>0</v>
      </c>
      <c r="I26" s="19"/>
      <c r="J26" s="19"/>
      <c r="K26" s="43"/>
      <c r="L26" s="137"/>
    </row>
    <row r="27" spans="1:12" ht="12.75" customHeight="1">
      <c r="A27" s="21" t="s">
        <v>79</v>
      </c>
      <c r="B27" s="34"/>
      <c r="C27" s="19"/>
      <c r="D27" s="19"/>
      <c r="E27" s="73" t="s">
        <v>64</v>
      </c>
      <c r="F27" s="34"/>
      <c r="G27" s="73" t="s">
        <v>64</v>
      </c>
      <c r="H27" s="34">
        <f t="shared" si="0"/>
        <v>0</v>
      </c>
      <c r="I27" s="34"/>
      <c r="J27" s="34"/>
      <c r="K27" s="77"/>
      <c r="L27" s="139"/>
    </row>
    <row r="28" spans="1:12" ht="13.5" thickBot="1">
      <c r="A28" s="5" t="s">
        <v>19</v>
      </c>
      <c r="B28" s="31"/>
      <c r="C28" s="31"/>
      <c r="D28" s="31"/>
      <c r="E28" s="33" t="s">
        <v>64</v>
      </c>
      <c r="F28" s="31"/>
      <c r="G28" s="33" t="s">
        <v>64</v>
      </c>
      <c r="H28" s="31">
        <f t="shared" si="0"/>
        <v>0</v>
      </c>
      <c r="I28" s="31">
        <v>5.832</v>
      </c>
      <c r="J28" s="31"/>
      <c r="K28" s="81"/>
      <c r="L28" s="140"/>
    </row>
    <row r="29" spans="1:12" ht="12.75">
      <c r="A29" s="4"/>
      <c r="B29" s="28"/>
      <c r="C29" s="28"/>
      <c r="D29" s="28"/>
      <c r="E29" s="28"/>
      <c r="F29" s="28"/>
      <c r="G29" s="28"/>
      <c r="H29" s="28"/>
      <c r="I29" s="28"/>
      <c r="J29" s="28"/>
      <c r="K29" s="124"/>
      <c r="L29" s="141"/>
    </row>
    <row r="30" spans="1:12" ht="12.75">
      <c r="A30" s="20" t="s">
        <v>20</v>
      </c>
      <c r="B30" s="134">
        <f aca="true" t="shared" si="1" ref="B30:G30">B32+B38</f>
        <v>7488</v>
      </c>
      <c r="C30" s="27">
        <f t="shared" si="1"/>
        <v>18000</v>
      </c>
      <c r="D30" s="27">
        <f t="shared" si="1"/>
        <v>17823</v>
      </c>
      <c r="E30" s="27">
        <f t="shared" si="1"/>
        <v>1326</v>
      </c>
      <c r="F30" s="27">
        <f t="shared" si="1"/>
        <v>0</v>
      </c>
      <c r="G30" s="27">
        <f t="shared" si="1"/>
        <v>-711</v>
      </c>
      <c r="H30" s="27">
        <f>D30+E30+F30+G30</f>
        <v>18438</v>
      </c>
      <c r="I30" s="27">
        <f>I32+I38</f>
        <v>13963</v>
      </c>
      <c r="J30" s="87">
        <f>I30/D30*100</f>
        <v>78.34259103405712</v>
      </c>
      <c r="K30" s="87">
        <f>I30/H30*100</f>
        <v>75.72947174313917</v>
      </c>
      <c r="L30" s="142">
        <f>I30/B30*100</f>
        <v>186.47168803418802</v>
      </c>
    </row>
    <row r="31" spans="1:12" ht="12.75">
      <c r="A31" s="7" t="s">
        <v>21</v>
      </c>
      <c r="B31" s="19"/>
      <c r="C31" s="19"/>
      <c r="D31" s="19"/>
      <c r="E31" s="19"/>
      <c r="F31" s="19"/>
      <c r="G31" s="19"/>
      <c r="H31" s="167"/>
      <c r="I31" s="19"/>
      <c r="J31" s="43"/>
      <c r="K31" s="43"/>
      <c r="L31" s="137"/>
    </row>
    <row r="32" spans="1:12" ht="12.75">
      <c r="A32" s="20" t="s">
        <v>22</v>
      </c>
      <c r="B32" s="134">
        <f aca="true" t="shared" si="2" ref="B32:G32">B34+B35+B36</f>
        <v>772</v>
      </c>
      <c r="C32" s="27">
        <f t="shared" si="2"/>
        <v>2100</v>
      </c>
      <c r="D32" s="27">
        <f t="shared" si="2"/>
        <v>1450</v>
      </c>
      <c r="E32" s="27">
        <f t="shared" si="2"/>
        <v>64</v>
      </c>
      <c r="F32" s="27">
        <f t="shared" si="2"/>
        <v>0</v>
      </c>
      <c r="G32" s="27">
        <f t="shared" si="2"/>
        <v>-500</v>
      </c>
      <c r="H32" s="27">
        <f aca="true" t="shared" si="3" ref="H32:H56">D32+E32+F32+G32</f>
        <v>1014</v>
      </c>
      <c r="I32" s="27">
        <f>I34+I35+I36</f>
        <v>150</v>
      </c>
      <c r="J32" s="87">
        <f>I32/D32*100</f>
        <v>10.344827586206897</v>
      </c>
      <c r="K32" s="87">
        <f>I32/H32*100</f>
        <v>14.792899408284024</v>
      </c>
      <c r="L32" s="142">
        <f>I32/B32*100</f>
        <v>19.4300518134715</v>
      </c>
    </row>
    <row r="33" spans="1:12" ht="12.75">
      <c r="A33" s="7" t="s">
        <v>23</v>
      </c>
      <c r="B33" s="19"/>
      <c r="C33" s="19"/>
      <c r="D33" s="19"/>
      <c r="E33" s="19"/>
      <c r="F33" s="19"/>
      <c r="G33" s="19"/>
      <c r="H33" s="19"/>
      <c r="I33" s="19"/>
      <c r="J33" s="43"/>
      <c r="K33" s="43"/>
      <c r="L33" s="137"/>
    </row>
    <row r="34" spans="1:12" ht="12.75">
      <c r="A34" s="7" t="s">
        <v>24</v>
      </c>
      <c r="B34" s="19">
        <v>0</v>
      </c>
      <c r="C34" s="19">
        <v>1500</v>
      </c>
      <c r="D34" s="19">
        <v>850</v>
      </c>
      <c r="E34" s="19">
        <f>63+1</f>
        <v>64</v>
      </c>
      <c r="F34" s="19"/>
      <c r="G34" s="19"/>
      <c r="H34" s="19">
        <f t="shared" si="3"/>
        <v>914</v>
      </c>
      <c r="I34" s="19">
        <f>63+1</f>
        <v>64</v>
      </c>
      <c r="J34" s="43">
        <f aca="true" t="shared" si="4" ref="J34:J60">I34/D34*100</f>
        <v>7.529411764705881</v>
      </c>
      <c r="K34" s="43">
        <f>I34/H34*100</f>
        <v>7.00218818380744</v>
      </c>
      <c r="L34" s="160"/>
    </row>
    <row r="35" spans="1:12" ht="12.75">
      <c r="A35" s="7" t="s">
        <v>25</v>
      </c>
      <c r="B35" s="19">
        <v>772</v>
      </c>
      <c r="C35" s="19">
        <v>600</v>
      </c>
      <c r="D35" s="19">
        <v>600</v>
      </c>
      <c r="E35" s="19"/>
      <c r="F35" s="19"/>
      <c r="G35" s="19">
        <v>-500</v>
      </c>
      <c r="H35" s="19">
        <f t="shared" si="3"/>
        <v>100</v>
      </c>
      <c r="I35" s="19">
        <f>87-1</f>
        <v>86</v>
      </c>
      <c r="J35" s="43">
        <f t="shared" si="4"/>
        <v>14.333333333333334</v>
      </c>
      <c r="K35" s="43">
        <f>I35/H35*100</f>
        <v>86</v>
      </c>
      <c r="L35" s="138">
        <f>I35/B35*100</f>
        <v>11.139896373056994</v>
      </c>
    </row>
    <row r="36" spans="1:12" ht="12.75">
      <c r="A36" s="8" t="s">
        <v>26</v>
      </c>
      <c r="B36" s="94"/>
      <c r="C36" s="94"/>
      <c r="D36" s="94"/>
      <c r="E36" s="94"/>
      <c r="F36" s="94"/>
      <c r="G36" s="94"/>
      <c r="H36" s="94">
        <f t="shared" si="3"/>
        <v>0</v>
      </c>
      <c r="I36" s="94"/>
      <c r="J36" s="95"/>
      <c r="K36" s="95"/>
      <c r="L36" s="143"/>
    </row>
    <row r="37" spans="1:12" ht="12.75">
      <c r="A37" s="4"/>
      <c r="B37" s="28"/>
      <c r="C37" s="28"/>
      <c r="D37" s="28"/>
      <c r="E37" s="28"/>
      <c r="F37" s="28"/>
      <c r="G37" s="28"/>
      <c r="H37" s="28"/>
      <c r="I37" s="28"/>
      <c r="J37" s="124"/>
      <c r="K37" s="124"/>
      <c r="L37" s="141"/>
    </row>
    <row r="38" spans="1:12" ht="12.75">
      <c r="A38" s="20" t="s">
        <v>27</v>
      </c>
      <c r="B38" s="134">
        <f>B40+B43+B44+B45+B46</f>
        <v>6716</v>
      </c>
      <c r="C38" s="27">
        <f>C40+C46+C43+C44+C45</f>
        <v>15900</v>
      </c>
      <c r="D38" s="27">
        <f>D40+D46+D43+D44+D45</f>
        <v>16373</v>
      </c>
      <c r="E38" s="27">
        <f>E40+E46+E43+E44+E45</f>
        <v>1262</v>
      </c>
      <c r="F38" s="27">
        <f>F40+F46+F43+F44+F45</f>
        <v>0</v>
      </c>
      <c r="G38" s="27">
        <f>G40+G46+G43+G44+G45</f>
        <v>-211</v>
      </c>
      <c r="H38" s="27">
        <f t="shared" si="3"/>
        <v>17424</v>
      </c>
      <c r="I38" s="27">
        <f>I40+I43+I44+I45+I46</f>
        <v>13813</v>
      </c>
      <c r="J38" s="87">
        <f t="shared" si="4"/>
        <v>84.36450253466073</v>
      </c>
      <c r="K38" s="87">
        <f>I38/H38*100</f>
        <v>79.2757116620753</v>
      </c>
      <c r="L38" s="142">
        <f>I38/B38*100</f>
        <v>205.6730196545563</v>
      </c>
    </row>
    <row r="39" spans="1:12" ht="12.75">
      <c r="A39" s="7" t="s">
        <v>23</v>
      </c>
      <c r="B39" s="19"/>
      <c r="C39" s="19"/>
      <c r="D39" s="19"/>
      <c r="E39" s="19"/>
      <c r="F39" s="19"/>
      <c r="G39" s="19"/>
      <c r="H39" s="19"/>
      <c r="I39" s="19"/>
      <c r="J39" s="43"/>
      <c r="K39" s="43"/>
      <c r="L39" s="137"/>
    </row>
    <row r="40" spans="1:12" ht="12.75">
      <c r="A40" s="9" t="s">
        <v>28</v>
      </c>
      <c r="B40" s="36">
        <f aca="true" t="shared" si="5" ref="B40:G40">B41+B42</f>
        <v>4235</v>
      </c>
      <c r="C40" s="29">
        <f t="shared" si="5"/>
        <v>8794</v>
      </c>
      <c r="D40" s="29">
        <f t="shared" si="5"/>
        <v>8794</v>
      </c>
      <c r="E40" s="29">
        <f t="shared" si="5"/>
        <v>188</v>
      </c>
      <c r="F40" s="29">
        <f t="shared" si="5"/>
        <v>0</v>
      </c>
      <c r="G40" s="29">
        <f t="shared" si="5"/>
        <v>0</v>
      </c>
      <c r="H40" s="29">
        <f t="shared" si="3"/>
        <v>8982</v>
      </c>
      <c r="I40" s="29">
        <f>I41+I42</f>
        <v>8485</v>
      </c>
      <c r="J40" s="45">
        <f t="shared" si="4"/>
        <v>96.48624061860359</v>
      </c>
      <c r="K40" s="45">
        <f>I40/H40*100</f>
        <v>94.46671120017814</v>
      </c>
      <c r="L40" s="138">
        <f>I40/B40*100</f>
        <v>200.35419126328216</v>
      </c>
    </row>
    <row r="41" spans="1:14" ht="12.75">
      <c r="A41" s="7" t="s">
        <v>29</v>
      </c>
      <c r="B41" s="19">
        <v>4117</v>
      </c>
      <c r="C41" s="19">
        <v>8254</v>
      </c>
      <c r="D41" s="19">
        <v>8254</v>
      </c>
      <c r="E41" s="19">
        <v>188</v>
      </c>
      <c r="F41" s="19"/>
      <c r="G41" s="19"/>
      <c r="H41" s="19">
        <f t="shared" si="3"/>
        <v>8442</v>
      </c>
      <c r="I41" s="19">
        <f>8236-1</f>
        <v>8235</v>
      </c>
      <c r="J41" s="43">
        <f t="shared" si="4"/>
        <v>99.76980857765932</v>
      </c>
      <c r="K41" s="43">
        <f>I41/H41*100</f>
        <v>97.54797441364606</v>
      </c>
      <c r="L41" s="138">
        <f aca="true" t="shared" si="6" ref="L41:L60">I41/B41*100</f>
        <v>200.02428953121205</v>
      </c>
      <c r="N41" s="14"/>
    </row>
    <row r="42" spans="1:14" ht="12.75">
      <c r="A42" s="16" t="s">
        <v>30</v>
      </c>
      <c r="B42" s="19">
        <v>118</v>
      </c>
      <c r="C42" s="19">
        <v>540</v>
      </c>
      <c r="D42" s="19">
        <v>540</v>
      </c>
      <c r="E42" s="19"/>
      <c r="F42" s="19"/>
      <c r="G42" s="19"/>
      <c r="H42" s="19">
        <f t="shared" si="3"/>
        <v>540</v>
      </c>
      <c r="I42" s="19">
        <f>250-1+1</f>
        <v>250</v>
      </c>
      <c r="J42" s="43">
        <f t="shared" si="4"/>
        <v>46.2962962962963</v>
      </c>
      <c r="K42" s="43">
        <f>I42/H42*100</f>
        <v>46.2962962962963</v>
      </c>
      <c r="L42" s="138">
        <f t="shared" si="6"/>
        <v>211.86440677966104</v>
      </c>
      <c r="N42" s="14"/>
    </row>
    <row r="43" spans="1:14" ht="12.75">
      <c r="A43" s="10" t="s">
        <v>31</v>
      </c>
      <c r="B43" s="36">
        <v>1400</v>
      </c>
      <c r="C43" s="36">
        <v>2990</v>
      </c>
      <c r="D43" s="36">
        <v>2990</v>
      </c>
      <c r="E43" s="36">
        <v>64</v>
      </c>
      <c r="F43" s="36"/>
      <c r="G43" s="29"/>
      <c r="H43" s="36">
        <f t="shared" si="3"/>
        <v>3054</v>
      </c>
      <c r="I43" s="36">
        <v>2909</v>
      </c>
      <c r="J43" s="44">
        <f t="shared" si="4"/>
        <v>97.29096989966554</v>
      </c>
      <c r="K43" s="44">
        <f>I43/H43*100</f>
        <v>95.25212835625409</v>
      </c>
      <c r="L43" s="138">
        <f t="shared" si="6"/>
        <v>207.78571428571428</v>
      </c>
      <c r="N43" s="14"/>
    </row>
    <row r="44" spans="1:14" ht="12.75">
      <c r="A44" s="10" t="s">
        <v>32</v>
      </c>
      <c r="B44" s="36">
        <v>41</v>
      </c>
      <c r="C44" s="36">
        <v>83</v>
      </c>
      <c r="D44" s="36">
        <v>83</v>
      </c>
      <c r="E44" s="36">
        <v>2</v>
      </c>
      <c r="F44" s="36"/>
      <c r="G44" s="29"/>
      <c r="H44" s="36">
        <f t="shared" si="3"/>
        <v>85</v>
      </c>
      <c r="I44" s="36">
        <f>84+1</f>
        <v>85</v>
      </c>
      <c r="J44" s="44">
        <f t="shared" si="4"/>
        <v>102.40963855421687</v>
      </c>
      <c r="K44" s="44">
        <f>I44/H44*100</f>
        <v>100</v>
      </c>
      <c r="L44" s="138">
        <f t="shared" si="6"/>
        <v>207.3170731707317</v>
      </c>
      <c r="N44" s="14"/>
    </row>
    <row r="45" spans="1:12" ht="12.75">
      <c r="A45" s="10" t="s">
        <v>49</v>
      </c>
      <c r="B45" s="36">
        <v>0</v>
      </c>
      <c r="C45" s="29"/>
      <c r="D45" s="36"/>
      <c r="E45" s="36"/>
      <c r="F45" s="36"/>
      <c r="G45" s="29"/>
      <c r="H45" s="36">
        <f t="shared" si="3"/>
        <v>0</v>
      </c>
      <c r="I45" s="36">
        <v>0</v>
      </c>
      <c r="J45" s="44"/>
      <c r="K45" s="44"/>
      <c r="L45" s="138"/>
    </row>
    <row r="46" spans="1:12" ht="12.75">
      <c r="A46" s="10" t="s">
        <v>34</v>
      </c>
      <c r="B46" s="36">
        <f aca="true" t="shared" si="7" ref="B46:G46">B48+B49+B50+B52+B56</f>
        <v>1040</v>
      </c>
      <c r="C46" s="29">
        <f t="shared" si="7"/>
        <v>4033</v>
      </c>
      <c r="D46" s="29">
        <f t="shared" si="7"/>
        <v>4506</v>
      </c>
      <c r="E46" s="29">
        <f t="shared" si="7"/>
        <v>1008</v>
      </c>
      <c r="F46" s="29">
        <f t="shared" si="7"/>
        <v>0</v>
      </c>
      <c r="G46" s="29">
        <f t="shared" si="7"/>
        <v>-211</v>
      </c>
      <c r="H46" s="29">
        <f t="shared" si="3"/>
        <v>5303</v>
      </c>
      <c r="I46" s="29">
        <f>I48+I49+I50+I52+I56</f>
        <v>2334</v>
      </c>
      <c r="J46" s="45">
        <f t="shared" si="4"/>
        <v>51.797603195739015</v>
      </c>
      <c r="K46" s="45">
        <f>I46/H46*100</f>
        <v>44.012822930416746</v>
      </c>
      <c r="L46" s="138">
        <f t="shared" si="6"/>
        <v>224.42307692307693</v>
      </c>
    </row>
    <row r="47" spans="1:12" ht="12.75">
      <c r="A47" s="7" t="s">
        <v>35</v>
      </c>
      <c r="B47" s="19"/>
      <c r="C47" s="19"/>
      <c r="D47" s="19"/>
      <c r="E47" s="19"/>
      <c r="F47" s="19"/>
      <c r="G47" s="19"/>
      <c r="H47" s="19"/>
      <c r="I47" s="19"/>
      <c r="J47" s="43"/>
      <c r="K47" s="43"/>
      <c r="L47" s="138"/>
    </row>
    <row r="48" spans="1:14" ht="12.75">
      <c r="A48" s="7" t="s">
        <v>36</v>
      </c>
      <c r="B48" s="41">
        <v>125</v>
      </c>
      <c r="C48" s="41">
        <v>84</v>
      </c>
      <c r="D48" s="41">
        <f>569+1</f>
        <v>570</v>
      </c>
      <c r="E48" s="41">
        <v>311</v>
      </c>
      <c r="F48" s="41"/>
      <c r="G48" s="19"/>
      <c r="H48" s="41">
        <f t="shared" si="3"/>
        <v>881</v>
      </c>
      <c r="I48" s="41">
        <f>440+1</f>
        <v>441</v>
      </c>
      <c r="J48" s="75">
        <f t="shared" si="4"/>
        <v>77.36842105263158</v>
      </c>
      <c r="K48" s="43">
        <f aca="true" t="shared" si="8" ref="K48:K60">I48/H48*100</f>
        <v>50.05675368898979</v>
      </c>
      <c r="L48" s="138">
        <f t="shared" si="6"/>
        <v>352.8</v>
      </c>
      <c r="N48" s="14"/>
    </row>
    <row r="49" spans="1:14" ht="12.75">
      <c r="A49" s="7" t="s">
        <v>37</v>
      </c>
      <c r="B49" s="19">
        <v>72</v>
      </c>
      <c r="C49" s="19">
        <v>408</v>
      </c>
      <c r="D49" s="19">
        <v>368</v>
      </c>
      <c r="E49" s="19">
        <f>42+1</f>
        <v>43</v>
      </c>
      <c r="F49" s="19"/>
      <c r="G49" s="19">
        <v>-44</v>
      </c>
      <c r="H49" s="19">
        <f t="shared" si="3"/>
        <v>367</v>
      </c>
      <c r="I49" s="19">
        <v>217</v>
      </c>
      <c r="J49" s="43">
        <f t="shared" si="4"/>
        <v>58.96739130434783</v>
      </c>
      <c r="K49" s="43">
        <f t="shared" si="8"/>
        <v>59.12806539509536</v>
      </c>
      <c r="L49" s="138">
        <f t="shared" si="6"/>
        <v>301.38888888888886</v>
      </c>
      <c r="N49" s="14"/>
    </row>
    <row r="50" spans="1:14" ht="12.75">
      <c r="A50" s="7" t="s">
        <v>38</v>
      </c>
      <c r="B50" s="19">
        <v>593</v>
      </c>
      <c r="C50" s="19">
        <v>2223</v>
      </c>
      <c r="D50" s="19">
        <f>1938-1</f>
        <v>1937</v>
      </c>
      <c r="E50" s="19">
        <f>643-1</f>
        <v>642</v>
      </c>
      <c r="F50" s="19"/>
      <c r="G50" s="19">
        <v>-162</v>
      </c>
      <c r="H50" s="19">
        <f t="shared" si="3"/>
        <v>2417</v>
      </c>
      <c r="I50" s="19">
        <v>1230</v>
      </c>
      <c r="J50" s="43">
        <f t="shared" si="4"/>
        <v>63.500258131130614</v>
      </c>
      <c r="K50" s="43">
        <f t="shared" si="8"/>
        <v>50.88953247827885</v>
      </c>
      <c r="L50" s="138">
        <f t="shared" si="6"/>
        <v>207.41989881956155</v>
      </c>
      <c r="N50" s="14"/>
    </row>
    <row r="51" spans="1:14" ht="12.75">
      <c r="A51" s="7" t="s">
        <v>39</v>
      </c>
      <c r="B51" s="19">
        <v>114</v>
      </c>
      <c r="C51" s="19">
        <v>72</v>
      </c>
      <c r="D51" s="19">
        <v>72</v>
      </c>
      <c r="E51" s="19">
        <v>36</v>
      </c>
      <c r="F51" s="19"/>
      <c r="G51" s="19">
        <v>-72</v>
      </c>
      <c r="H51" s="19">
        <f t="shared" si="3"/>
        <v>36</v>
      </c>
      <c r="I51" s="19">
        <v>36</v>
      </c>
      <c r="J51" s="43">
        <f t="shared" si="4"/>
        <v>50</v>
      </c>
      <c r="K51" s="43">
        <f t="shared" si="8"/>
        <v>100</v>
      </c>
      <c r="L51" s="138">
        <f t="shared" si="6"/>
        <v>31.57894736842105</v>
      </c>
      <c r="N51" s="14"/>
    </row>
    <row r="52" spans="1:14" ht="12.75">
      <c r="A52" s="7" t="s">
        <v>40</v>
      </c>
      <c r="B52" s="19">
        <v>233</v>
      </c>
      <c r="C52" s="19">
        <v>901</v>
      </c>
      <c r="D52" s="19">
        <v>1215</v>
      </c>
      <c r="E52" s="19">
        <v>12</v>
      </c>
      <c r="F52" s="19"/>
      <c r="G52" s="19"/>
      <c r="H52" s="19">
        <f t="shared" si="3"/>
        <v>1227</v>
      </c>
      <c r="I52" s="19">
        <f>415+1</f>
        <v>416</v>
      </c>
      <c r="J52" s="43">
        <f t="shared" si="4"/>
        <v>34.23868312757202</v>
      </c>
      <c r="K52" s="43">
        <f t="shared" si="8"/>
        <v>33.903830480847596</v>
      </c>
      <c r="L52" s="138">
        <f t="shared" si="6"/>
        <v>178.54077253218884</v>
      </c>
      <c r="N52" s="14"/>
    </row>
    <row r="53" spans="1:14" ht="12.75">
      <c r="A53" s="7" t="s">
        <v>41</v>
      </c>
      <c r="B53" s="19">
        <v>44</v>
      </c>
      <c r="C53" s="19">
        <v>201</v>
      </c>
      <c r="D53" s="19">
        <v>221</v>
      </c>
      <c r="E53" s="19"/>
      <c r="F53" s="19"/>
      <c r="G53" s="19"/>
      <c r="H53" s="19">
        <f t="shared" si="3"/>
        <v>221</v>
      </c>
      <c r="I53" s="19">
        <f>127-1</f>
        <v>126</v>
      </c>
      <c r="J53" s="43">
        <f t="shared" si="4"/>
        <v>57.01357466063348</v>
      </c>
      <c r="K53" s="43">
        <f t="shared" si="8"/>
        <v>57.01357466063348</v>
      </c>
      <c r="L53" s="138">
        <f t="shared" si="6"/>
        <v>286.3636363636364</v>
      </c>
      <c r="N53" s="14"/>
    </row>
    <row r="54" spans="1:14" ht="12.75">
      <c r="A54" s="7" t="s">
        <v>42</v>
      </c>
      <c r="B54" s="19">
        <v>0</v>
      </c>
      <c r="C54" s="19">
        <v>0</v>
      </c>
      <c r="D54" s="19">
        <v>250</v>
      </c>
      <c r="E54" s="19"/>
      <c r="F54" s="19"/>
      <c r="G54" s="19"/>
      <c r="H54" s="19">
        <f t="shared" si="3"/>
        <v>250</v>
      </c>
      <c r="I54" s="19">
        <v>30</v>
      </c>
      <c r="J54" s="43"/>
      <c r="K54" s="43">
        <f t="shared" si="8"/>
        <v>12</v>
      </c>
      <c r="L54" s="138"/>
      <c r="N54" s="14"/>
    </row>
    <row r="55" spans="1:14" ht="12.75">
      <c r="A55" s="7" t="s">
        <v>43</v>
      </c>
      <c r="B55" s="19">
        <v>167</v>
      </c>
      <c r="C55" s="19">
        <v>660</v>
      </c>
      <c r="D55" s="19">
        <v>524</v>
      </c>
      <c r="E55" s="19">
        <v>12</v>
      </c>
      <c r="F55" s="19"/>
      <c r="G55" s="19"/>
      <c r="H55" s="19">
        <f t="shared" si="3"/>
        <v>536</v>
      </c>
      <c r="I55" s="19">
        <v>77</v>
      </c>
      <c r="J55" s="43">
        <f t="shared" si="4"/>
        <v>14.694656488549619</v>
      </c>
      <c r="K55" s="43">
        <f t="shared" si="8"/>
        <v>14.365671641791044</v>
      </c>
      <c r="L55" s="138">
        <f t="shared" si="6"/>
        <v>46.10778443113773</v>
      </c>
      <c r="N55" s="14"/>
    </row>
    <row r="56" spans="1:14" ht="13.5" thickBot="1">
      <c r="A56" s="15" t="s">
        <v>44</v>
      </c>
      <c r="B56" s="30">
        <v>17</v>
      </c>
      <c r="C56" s="30">
        <f>20+4+3+300+10+80</f>
        <v>417</v>
      </c>
      <c r="D56" s="30">
        <v>416</v>
      </c>
      <c r="E56" s="30"/>
      <c r="F56" s="30"/>
      <c r="G56" s="30">
        <f>-4-1</f>
        <v>-5</v>
      </c>
      <c r="H56" s="30">
        <f t="shared" si="3"/>
        <v>411</v>
      </c>
      <c r="I56" s="30">
        <f>31-1</f>
        <v>30</v>
      </c>
      <c r="J56" s="46">
        <f t="shared" si="4"/>
        <v>7.211538461538461</v>
      </c>
      <c r="K56" s="46">
        <f t="shared" si="8"/>
        <v>7.2992700729927</v>
      </c>
      <c r="L56" s="115">
        <f t="shared" si="6"/>
        <v>176.47058823529412</v>
      </c>
      <c r="N56" s="14"/>
    </row>
    <row r="57" spans="1:16" ht="12.75">
      <c r="A57" s="18" t="s">
        <v>45</v>
      </c>
      <c r="B57" s="19">
        <v>5</v>
      </c>
      <c r="C57" s="19">
        <v>14</v>
      </c>
      <c r="D57" s="19">
        <v>14</v>
      </c>
      <c r="E57" s="19"/>
      <c r="F57" s="19"/>
      <c r="G57" s="19"/>
      <c r="H57" s="19">
        <f>D57+E57+F57</f>
        <v>14</v>
      </c>
      <c r="I57" s="19">
        <v>13</v>
      </c>
      <c r="J57" s="43">
        <f t="shared" si="4"/>
        <v>92.85714285714286</v>
      </c>
      <c r="K57" s="43">
        <f t="shared" si="8"/>
        <v>92.85714285714286</v>
      </c>
      <c r="L57" s="144">
        <f t="shared" si="6"/>
        <v>260</v>
      </c>
      <c r="N57" s="116"/>
      <c r="P57" s="14"/>
    </row>
    <row r="58" spans="1:12" ht="12.75" hidden="1">
      <c r="A58" s="18" t="s">
        <v>87</v>
      </c>
      <c r="B58" s="19"/>
      <c r="C58" s="19"/>
      <c r="D58" s="19"/>
      <c r="E58" s="19"/>
      <c r="F58" s="19"/>
      <c r="G58" s="19"/>
      <c r="H58" s="19">
        <f>D58+E58+F58</f>
        <v>0</v>
      </c>
      <c r="I58" s="19"/>
      <c r="J58" s="43" t="e">
        <f t="shared" si="4"/>
        <v>#DIV/0!</v>
      </c>
      <c r="K58" s="43" t="e">
        <f t="shared" si="8"/>
        <v>#DIV/0!</v>
      </c>
      <c r="L58" s="145" t="e">
        <f t="shared" si="6"/>
        <v>#DIV/0!</v>
      </c>
    </row>
    <row r="59" spans="1:12" ht="12.75">
      <c r="A59" s="7" t="s">
        <v>46</v>
      </c>
      <c r="B59" s="19">
        <f>B41/B57/12*1000</f>
        <v>68616.66666666666</v>
      </c>
      <c r="C59" s="19">
        <f>C41/C57/12*1000</f>
        <v>49130.95238095238</v>
      </c>
      <c r="D59" s="19">
        <f>D41/D57/12*1000</f>
        <v>49130.95238095238</v>
      </c>
      <c r="E59" s="19"/>
      <c r="F59" s="19"/>
      <c r="G59" s="19"/>
      <c r="H59" s="19">
        <f>H41/H57/12*1000</f>
        <v>50250</v>
      </c>
      <c r="I59" s="19">
        <f>I41/I57/12*1000</f>
        <v>52788.46153846154</v>
      </c>
      <c r="J59" s="43">
        <f t="shared" si="4"/>
        <v>107.44440923747926</v>
      </c>
      <c r="K59" s="43">
        <f t="shared" si="8"/>
        <v>105.05166475315728</v>
      </c>
      <c r="L59" s="145">
        <f t="shared" si="6"/>
        <v>76.93241905046618</v>
      </c>
    </row>
    <row r="60" spans="1:13" ht="13.5" thickBot="1">
      <c r="A60" s="5" t="s">
        <v>47</v>
      </c>
      <c r="B60" s="31">
        <f>B46/B57*1000</f>
        <v>208000</v>
      </c>
      <c r="C60" s="31">
        <f>C46/C57*1000</f>
        <v>288071.4285714286</v>
      </c>
      <c r="D60" s="31">
        <f>D46/D57*1000</f>
        <v>321857.14285714284</v>
      </c>
      <c r="E60" s="31"/>
      <c r="F60" s="31"/>
      <c r="G60" s="31"/>
      <c r="H60" s="31">
        <f>H46/H57*1000</f>
        <v>378785.71428571426</v>
      </c>
      <c r="I60" s="31">
        <f>ROUND(I46/I57*1000,0)</f>
        <v>179538</v>
      </c>
      <c r="J60" s="81">
        <f t="shared" si="4"/>
        <v>55.78189081225033</v>
      </c>
      <c r="K60" s="81">
        <f t="shared" si="8"/>
        <v>47.398302847444846</v>
      </c>
      <c r="L60" s="115">
        <f t="shared" si="6"/>
        <v>86.31634615384615</v>
      </c>
      <c r="M60" s="11"/>
    </row>
    <row r="61" spans="2:10" ht="12.75">
      <c r="B61" s="121"/>
      <c r="I61" s="26"/>
      <c r="J61" s="26"/>
    </row>
    <row r="62" ht="12.75">
      <c r="A62" s="1" t="s">
        <v>62</v>
      </c>
    </row>
    <row r="63" spans="1:2" ht="12.75">
      <c r="A63" s="35" t="s">
        <v>73</v>
      </c>
      <c r="B63" s="26"/>
    </row>
    <row r="64" ht="12.75">
      <c r="A64" s="35" t="s">
        <v>67</v>
      </c>
    </row>
    <row r="65" ht="12.75">
      <c r="A65" s="35" t="s">
        <v>74</v>
      </c>
    </row>
    <row r="66" ht="12.75">
      <c r="A66" s="1" t="s">
        <v>69</v>
      </c>
    </row>
    <row r="67" ht="12.75">
      <c r="A67" s="1" t="s">
        <v>72</v>
      </c>
    </row>
    <row r="68" spans="1:11" ht="12.75">
      <c r="A68" s="180" t="s">
        <v>68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</sheetData>
  <sheetProtection/>
  <mergeCells count="1">
    <mergeCell ref="A68:K68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pane xSplit="1" ySplit="8" topLeftCell="B9" activePane="bottomRight" state="frozen"/>
      <selection pane="topLeft" activeCell="N33" sqref="N33"/>
      <selection pane="topRight" activeCell="N33" sqref="N33"/>
      <selection pane="bottomLeft" activeCell="N33" sqref="N33"/>
      <selection pane="bottomRight" activeCell="N28" sqref="N28"/>
    </sheetView>
  </sheetViews>
  <sheetFormatPr defaultColWidth="9.125" defaultRowHeight="12.75"/>
  <cols>
    <col min="1" max="1" width="33.125" style="1" customWidth="1"/>
    <col min="2" max="2" width="9.875" style="14" bestFit="1" customWidth="1"/>
    <col min="3" max="3" width="10.00390625" style="1" customWidth="1"/>
    <col min="4" max="4" width="9.625" style="1" customWidth="1"/>
    <col min="5" max="5" width="10.875" style="1" customWidth="1"/>
    <col min="6" max="6" width="9.00390625" style="1" customWidth="1"/>
    <col min="7" max="7" width="10.625" style="1" customWidth="1"/>
    <col min="8" max="8" width="10.00390625" style="1" customWidth="1"/>
    <col min="9" max="10" width="9.875" style="1" customWidth="1"/>
    <col min="11" max="11" width="8.00390625" style="1" customWidth="1"/>
    <col min="12" max="16384" width="9.125" style="1" customWidth="1"/>
  </cols>
  <sheetData>
    <row r="1" spans="1:11" ht="18.75">
      <c r="A1" s="178" t="s">
        <v>53</v>
      </c>
      <c r="B1" s="13"/>
      <c r="K1" s="176" t="s">
        <v>96</v>
      </c>
    </row>
    <row r="2" ht="12.75">
      <c r="A2" s="1" t="s">
        <v>90</v>
      </c>
    </row>
    <row r="3" spans="3:12" ht="13.5" thickBot="1">
      <c r="C3" s="112"/>
      <c r="D3" s="112"/>
      <c r="H3" s="112"/>
      <c r="I3" s="112"/>
      <c r="J3" s="2"/>
      <c r="L3" s="12"/>
    </row>
    <row r="4" spans="1:12" ht="12.75">
      <c r="A4" s="3"/>
      <c r="B4" s="161">
        <v>2011</v>
      </c>
      <c r="C4" s="52"/>
      <c r="D4" s="52">
        <v>2012</v>
      </c>
      <c r="E4" s="52"/>
      <c r="F4" s="52"/>
      <c r="G4" s="52"/>
      <c r="H4" s="52"/>
      <c r="I4" s="52"/>
      <c r="J4" s="52"/>
      <c r="K4" s="53"/>
      <c r="L4" s="54" t="s">
        <v>82</v>
      </c>
    </row>
    <row r="5" spans="1:12" ht="12.75">
      <c r="A5" s="4" t="s">
        <v>0</v>
      </c>
      <c r="B5" s="32" t="s">
        <v>1</v>
      </c>
      <c r="C5" s="162" t="s">
        <v>89</v>
      </c>
      <c r="D5" s="56"/>
      <c r="E5" s="57"/>
      <c r="F5" s="57"/>
      <c r="G5" s="57"/>
      <c r="H5" s="57"/>
      <c r="I5" s="58" t="s">
        <v>1</v>
      </c>
      <c r="J5" s="58" t="s">
        <v>2</v>
      </c>
      <c r="K5" s="58" t="s">
        <v>2</v>
      </c>
      <c r="L5" s="54" t="s">
        <v>3</v>
      </c>
    </row>
    <row r="6" spans="1:12" ht="13.5" thickBot="1">
      <c r="A6" s="5"/>
      <c r="B6" s="163" t="s">
        <v>88</v>
      </c>
      <c r="C6" s="62" t="s">
        <v>4</v>
      </c>
      <c r="D6" s="60" t="s">
        <v>63</v>
      </c>
      <c r="E6" s="61" t="s">
        <v>60</v>
      </c>
      <c r="F6" s="61" t="s">
        <v>61</v>
      </c>
      <c r="G6" s="61" t="s">
        <v>83</v>
      </c>
      <c r="H6" s="61" t="s">
        <v>65</v>
      </c>
      <c r="I6" s="163" t="s">
        <v>88</v>
      </c>
      <c r="J6" s="60" t="s">
        <v>80</v>
      </c>
      <c r="K6" s="60" t="s">
        <v>66</v>
      </c>
      <c r="L6" s="164" t="s">
        <v>5</v>
      </c>
    </row>
    <row r="7" spans="1:12" ht="13.5" thickBot="1">
      <c r="A7" s="5" t="s">
        <v>6</v>
      </c>
      <c r="B7" s="33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3" t="s">
        <v>84</v>
      </c>
      <c r="K7" s="33" t="s">
        <v>85</v>
      </c>
      <c r="L7" s="63" t="s">
        <v>86</v>
      </c>
    </row>
    <row r="8" spans="1:15" ht="12.75">
      <c r="A8" s="6" t="s">
        <v>7</v>
      </c>
      <c r="B8" s="27">
        <f>SUM(MF:KFA!B8)</f>
        <v>5446033</v>
      </c>
      <c r="C8" s="27">
        <f>SUM(MF:KFA!C8)</f>
        <v>4370649</v>
      </c>
      <c r="D8" s="27">
        <f>SUM(MF:KFA!D8)</f>
        <v>4394467</v>
      </c>
      <c r="E8" s="118" t="s">
        <v>64</v>
      </c>
      <c r="F8" s="27">
        <f>SUM(F10:F28)</f>
        <v>21213.9</v>
      </c>
      <c r="G8" s="118" t="s">
        <v>64</v>
      </c>
      <c r="H8" s="27">
        <f>D8+F8</f>
        <v>4415680.9</v>
      </c>
      <c r="I8" s="27">
        <f>SUM(MF:KFA!I8)+1</f>
        <v>4813756.894</v>
      </c>
      <c r="J8" s="87">
        <f aca="true" t="shared" si="0" ref="J8:J30">I8/D8*100</f>
        <v>109.54131397505091</v>
      </c>
      <c r="K8" s="87">
        <f>I8/H8*100</f>
        <v>109.01505346548026</v>
      </c>
      <c r="L8" s="123">
        <f>I8/B8*100</f>
        <v>88.39015286907002</v>
      </c>
      <c r="N8" s="11"/>
      <c r="O8" s="11"/>
    </row>
    <row r="9" spans="1:15" ht="12.75">
      <c r="A9" s="4" t="s">
        <v>8</v>
      </c>
      <c r="B9" s="28"/>
      <c r="C9" s="28"/>
      <c r="D9" s="28"/>
      <c r="E9" s="73"/>
      <c r="F9" s="28"/>
      <c r="G9" s="73"/>
      <c r="H9" s="28"/>
      <c r="I9" s="28"/>
      <c r="J9" s="124"/>
      <c r="K9" s="124"/>
      <c r="L9" s="86"/>
      <c r="N9" s="23"/>
      <c r="O9" s="11"/>
    </row>
    <row r="10" spans="1:15" ht="12.75">
      <c r="A10" s="21" t="s">
        <v>58</v>
      </c>
      <c r="B10" s="34">
        <f>SUM(MF:KFA!B10)</f>
        <v>1383569</v>
      </c>
      <c r="C10" s="34">
        <f>SUM(MF:KFA!C10)</f>
        <v>1497194</v>
      </c>
      <c r="D10" s="34">
        <f>SUM(MF:KFA!D10)</f>
        <v>1497194</v>
      </c>
      <c r="E10" s="73" t="s">
        <v>64</v>
      </c>
      <c r="F10" s="34">
        <f>SUM(MF:KFA!F10)</f>
        <v>0</v>
      </c>
      <c r="G10" s="73" t="s">
        <v>64</v>
      </c>
      <c r="H10" s="34">
        <f aca="true" t="shared" si="1" ref="H10:H28">D10+F10</f>
        <v>1497194</v>
      </c>
      <c r="I10" s="34">
        <f>SUM(MF:KFA!I10)</f>
        <v>1121781</v>
      </c>
      <c r="J10" s="77">
        <f t="shared" si="0"/>
        <v>74.92556074897442</v>
      </c>
      <c r="K10" s="77">
        <f aca="true" t="shared" si="2" ref="K10:K28">I10/H10*100</f>
        <v>74.92556074897442</v>
      </c>
      <c r="L10" s="79">
        <v>0</v>
      </c>
      <c r="N10" s="22"/>
      <c r="O10" s="11"/>
    </row>
    <row r="11" spans="1:15" ht="12.75">
      <c r="A11" s="21" t="s">
        <v>9</v>
      </c>
      <c r="B11" s="34">
        <f>SUM(MF:KFA!B11)</f>
        <v>541314</v>
      </c>
      <c r="C11" s="34">
        <f>SUM(MF:KFA!C11)</f>
        <v>522779</v>
      </c>
      <c r="D11" s="34">
        <f>SUM(MF:KFA!D11)</f>
        <v>521470</v>
      </c>
      <c r="E11" s="73" t="s">
        <v>64</v>
      </c>
      <c r="F11" s="34">
        <f>SUM(MF:KFA!F11)</f>
        <v>0</v>
      </c>
      <c r="G11" s="73" t="s">
        <v>64</v>
      </c>
      <c r="H11" s="34">
        <f t="shared" si="1"/>
        <v>521470</v>
      </c>
      <c r="I11" s="34">
        <f>SUM(MF:KFA!I11)</f>
        <v>512004</v>
      </c>
      <c r="J11" s="77">
        <f t="shared" si="0"/>
        <v>98.18474696530961</v>
      </c>
      <c r="K11" s="77">
        <f t="shared" si="2"/>
        <v>98.18474696530961</v>
      </c>
      <c r="L11" s="79">
        <f>I11/B11*100</f>
        <v>94.5853977543533</v>
      </c>
      <c r="M11" s="14"/>
      <c r="N11" s="11"/>
      <c r="O11" s="11"/>
    </row>
    <row r="12" spans="1:15" ht="12.75">
      <c r="A12" s="21" t="s">
        <v>10</v>
      </c>
      <c r="B12" s="34">
        <f>SUM(MF:KFA!B12)</f>
        <v>481171</v>
      </c>
      <c r="C12" s="34">
        <f>SUM(MF:KFA!C12)</f>
        <v>464692</v>
      </c>
      <c r="D12" s="34">
        <f>SUM(MF:KFA!D12)</f>
        <v>463529</v>
      </c>
      <c r="E12" s="73" t="s">
        <v>64</v>
      </c>
      <c r="F12" s="34">
        <f>SUM(MF:KFA!F12)</f>
        <v>0</v>
      </c>
      <c r="G12" s="73" t="s">
        <v>64</v>
      </c>
      <c r="H12" s="34">
        <f t="shared" si="1"/>
        <v>463529</v>
      </c>
      <c r="I12" s="34">
        <f>SUM(MF:KFA!I12)</f>
        <v>455117</v>
      </c>
      <c r="J12" s="77">
        <f t="shared" si="0"/>
        <v>98.18522681428777</v>
      </c>
      <c r="K12" s="77">
        <f t="shared" si="2"/>
        <v>98.18522681428777</v>
      </c>
      <c r="L12" s="79">
        <f aca="true" t="shared" si="3" ref="L12:L28">I12/B12*100</f>
        <v>94.5852929623772</v>
      </c>
      <c r="N12" s="11"/>
      <c r="O12" s="11"/>
    </row>
    <row r="13" spans="1:15" ht="12.75">
      <c r="A13" s="7" t="s">
        <v>11</v>
      </c>
      <c r="B13" s="34">
        <f>SUM(MF:KFA!B13)</f>
        <v>64870</v>
      </c>
      <c r="C13" s="34">
        <f>SUM(MF:KFA!C13)</f>
        <v>54103</v>
      </c>
      <c r="D13" s="34">
        <f>SUM(MF:KFA!D13)</f>
        <v>54206</v>
      </c>
      <c r="E13" s="73" t="s">
        <v>64</v>
      </c>
      <c r="F13" s="34">
        <f>SUM(MF:KFA!F13)</f>
        <v>0</v>
      </c>
      <c r="G13" s="73" t="s">
        <v>64</v>
      </c>
      <c r="H13" s="19">
        <f t="shared" si="1"/>
        <v>54206</v>
      </c>
      <c r="I13" s="34">
        <f>SUM(MF:KFA!I13)</f>
        <v>67573</v>
      </c>
      <c r="J13" s="43">
        <f t="shared" si="0"/>
        <v>124.65963177508026</v>
      </c>
      <c r="K13" s="43">
        <f t="shared" si="2"/>
        <v>124.65963177508026</v>
      </c>
      <c r="L13" s="72">
        <f t="shared" si="3"/>
        <v>104.16679512871897</v>
      </c>
      <c r="N13" s="23"/>
      <c r="O13" s="24"/>
    </row>
    <row r="14" spans="1:15" ht="12.75">
      <c r="A14" s="17" t="s">
        <v>54</v>
      </c>
      <c r="B14" s="34">
        <f>SUM(MF:KFA!B14)</f>
        <v>99</v>
      </c>
      <c r="C14" s="34">
        <f>SUM(MF:KFA!C14)</f>
        <v>0</v>
      </c>
      <c r="D14" s="34">
        <f>SUM(MF:KFA!D14)</f>
        <v>0</v>
      </c>
      <c r="E14" s="73" t="s">
        <v>64</v>
      </c>
      <c r="F14" s="34">
        <f>SUM(MF:KFA!F14)</f>
        <v>0</v>
      </c>
      <c r="G14" s="73" t="s">
        <v>64</v>
      </c>
      <c r="H14" s="19">
        <f t="shared" si="1"/>
        <v>0</v>
      </c>
      <c r="I14" s="34">
        <f>SUM(MF:KFA!I14)</f>
        <v>40937</v>
      </c>
      <c r="J14" s="43"/>
      <c r="K14" s="43"/>
      <c r="L14" s="72"/>
      <c r="N14" s="11"/>
      <c r="O14" s="11"/>
    </row>
    <row r="15" spans="1:15" ht="12.75">
      <c r="A15" s="7" t="s">
        <v>12</v>
      </c>
      <c r="B15" s="34">
        <f>SUM(MF:KFA!B15)</f>
        <v>229447</v>
      </c>
      <c r="C15" s="34">
        <f>SUM(MF:KFA!C15)</f>
        <v>152508</v>
      </c>
      <c r="D15" s="34">
        <f>SUM(MF:KFA!D15)</f>
        <v>161234</v>
      </c>
      <c r="E15" s="73" t="s">
        <v>64</v>
      </c>
      <c r="F15" s="34">
        <f>SUM(MF:KFA!F15)</f>
        <v>0</v>
      </c>
      <c r="G15" s="73" t="s">
        <v>64</v>
      </c>
      <c r="H15" s="19">
        <f t="shared" si="1"/>
        <v>161234</v>
      </c>
      <c r="I15" s="34">
        <f>SUM(MF:KFA!I15)</f>
        <v>193107</v>
      </c>
      <c r="J15" s="43">
        <f t="shared" si="0"/>
        <v>119.76816304253445</v>
      </c>
      <c r="K15" s="43">
        <f t="shared" si="2"/>
        <v>119.76816304253445</v>
      </c>
      <c r="L15" s="72">
        <f t="shared" si="3"/>
        <v>84.16191974617232</v>
      </c>
      <c r="N15" s="24"/>
      <c r="O15" s="24"/>
    </row>
    <row r="16" spans="1:15" ht="12.75">
      <c r="A16" s="18" t="s">
        <v>13</v>
      </c>
      <c r="B16" s="34">
        <f>SUM(MF:KFA!B16)</f>
        <v>55266</v>
      </c>
      <c r="C16" s="34">
        <f>SUM(MF:KFA!C16)</f>
        <v>45583</v>
      </c>
      <c r="D16" s="34">
        <f>SUM(MF:KFA!D16)</f>
        <v>45583</v>
      </c>
      <c r="E16" s="73" t="s">
        <v>64</v>
      </c>
      <c r="F16" s="34">
        <f>SUM(MF:KFA!F16)</f>
        <v>0</v>
      </c>
      <c r="G16" s="73" t="s">
        <v>64</v>
      </c>
      <c r="H16" s="19">
        <f t="shared" si="1"/>
        <v>45583</v>
      </c>
      <c r="I16" s="34">
        <f>SUM(MF:KFA!I16)</f>
        <v>64596.062</v>
      </c>
      <c r="J16" s="43">
        <f t="shared" si="0"/>
        <v>141.71086150538576</v>
      </c>
      <c r="K16" s="43">
        <f t="shared" si="2"/>
        <v>141.71086150538576</v>
      </c>
      <c r="L16" s="72">
        <f t="shared" si="3"/>
        <v>116.88210111099049</v>
      </c>
      <c r="N16" s="24"/>
      <c r="O16" s="24"/>
    </row>
    <row r="17" spans="1:15" ht="12.75">
      <c r="A17" s="7" t="s">
        <v>14</v>
      </c>
      <c r="B17" s="34">
        <f>SUM(MF:KFA!B17)</f>
        <v>1212990</v>
      </c>
      <c r="C17" s="34">
        <f>SUM(MF:KFA!C17)</f>
        <v>900840</v>
      </c>
      <c r="D17" s="34">
        <f>SUM(MF:KFA!D17)</f>
        <v>900920</v>
      </c>
      <c r="E17" s="73" t="s">
        <v>64</v>
      </c>
      <c r="F17" s="34">
        <f>SUM(MF:KFA!F17)</f>
        <v>0</v>
      </c>
      <c r="G17" s="73" t="s">
        <v>64</v>
      </c>
      <c r="H17" s="19">
        <f t="shared" si="1"/>
        <v>900920</v>
      </c>
      <c r="I17" s="34">
        <f>SUM(MF:KFA!I17)</f>
        <v>884086</v>
      </c>
      <c r="J17" s="43">
        <f t="shared" si="0"/>
        <v>98.131465612929</v>
      </c>
      <c r="K17" s="43">
        <f t="shared" si="2"/>
        <v>98.131465612929</v>
      </c>
      <c r="L17" s="72">
        <f t="shared" si="3"/>
        <v>72.8848547803362</v>
      </c>
      <c r="N17" s="24"/>
      <c r="O17" s="24"/>
    </row>
    <row r="18" spans="1:15" ht="12.75">
      <c r="A18" s="7" t="s">
        <v>15</v>
      </c>
      <c r="B18" s="34">
        <f>SUM(MF:KFA!B18)</f>
        <v>2854</v>
      </c>
      <c r="C18" s="34">
        <f>SUM(MF:KFA!C18)</f>
        <v>9346</v>
      </c>
      <c r="D18" s="34">
        <f>SUM(MF:KFA!D18)</f>
        <v>1122</v>
      </c>
      <c r="E18" s="73" t="s">
        <v>64</v>
      </c>
      <c r="F18" s="34">
        <f>SUM(MF:KFA!F18)</f>
        <v>0</v>
      </c>
      <c r="G18" s="73" t="s">
        <v>64</v>
      </c>
      <c r="H18" s="19">
        <f t="shared" si="1"/>
        <v>1122</v>
      </c>
      <c r="I18" s="34">
        <f>SUM(MF:KFA!I18)</f>
        <v>3450</v>
      </c>
      <c r="J18" s="43">
        <f t="shared" si="0"/>
        <v>307.4866310160428</v>
      </c>
      <c r="K18" s="43">
        <f t="shared" si="2"/>
        <v>307.4866310160428</v>
      </c>
      <c r="L18" s="72">
        <f t="shared" si="3"/>
        <v>120.88297126839524</v>
      </c>
      <c r="N18" s="24"/>
      <c r="O18" s="24"/>
    </row>
    <row r="19" spans="1:15" ht="12.75">
      <c r="A19" s="7" t="s">
        <v>16</v>
      </c>
      <c r="B19" s="34">
        <f>SUM(MF:KFA!B19)</f>
        <v>245555</v>
      </c>
      <c r="C19" s="34">
        <f>SUM(MF:KFA!C19)</f>
        <v>112711</v>
      </c>
      <c r="D19" s="34">
        <f>SUM(MF:KFA!D19)</f>
        <v>111982</v>
      </c>
      <c r="E19" s="73" t="s">
        <v>64</v>
      </c>
      <c r="F19" s="34">
        <v>400</v>
      </c>
      <c r="G19" s="73" t="s">
        <v>64</v>
      </c>
      <c r="H19" s="19">
        <f t="shared" si="1"/>
        <v>112382</v>
      </c>
      <c r="I19" s="34">
        <f>SUM(MF:KFA!I19)-1</f>
        <v>226138</v>
      </c>
      <c r="J19" s="43">
        <f t="shared" si="0"/>
        <v>201.94138343662377</v>
      </c>
      <c r="K19" s="43">
        <f t="shared" si="2"/>
        <v>201.22261572137887</v>
      </c>
      <c r="L19" s="72">
        <f t="shared" si="3"/>
        <v>92.0926065443587</v>
      </c>
      <c r="N19" s="24"/>
      <c r="O19" s="24"/>
    </row>
    <row r="20" spans="1:15" ht="12.75">
      <c r="A20" s="7" t="s">
        <v>59</v>
      </c>
      <c r="B20" s="34">
        <f>SUM(MF:KFA!B20)</f>
        <v>8590</v>
      </c>
      <c r="C20" s="34">
        <f>SUM(MF:KFA!C20)</f>
        <v>7450</v>
      </c>
      <c r="D20" s="34">
        <f>SUM(MF:KFA!D20)</f>
        <v>7450</v>
      </c>
      <c r="E20" s="73" t="s">
        <v>64</v>
      </c>
      <c r="F20" s="34">
        <f>SUM(MF:KFA!F20)</f>
        <v>0</v>
      </c>
      <c r="G20" s="73" t="s">
        <v>64</v>
      </c>
      <c r="H20" s="19">
        <f t="shared" si="1"/>
        <v>7450</v>
      </c>
      <c r="I20" s="34">
        <f>SUM(MF:KFA!I20)</f>
        <v>8569</v>
      </c>
      <c r="J20" s="43">
        <f t="shared" si="0"/>
        <v>115.02013422818791</v>
      </c>
      <c r="K20" s="43">
        <f t="shared" si="2"/>
        <v>115.02013422818791</v>
      </c>
      <c r="L20" s="72">
        <f t="shared" si="3"/>
        <v>99.75552968568103</v>
      </c>
      <c r="N20" s="24"/>
      <c r="O20" s="24"/>
    </row>
    <row r="21" spans="1:15" ht="12.75">
      <c r="A21" s="18" t="s">
        <v>55</v>
      </c>
      <c r="B21" s="34">
        <f>SUM(MF:KFA!B21)</f>
        <v>513441</v>
      </c>
      <c r="C21" s="34">
        <f>SUM(MF:KFA!C21)</f>
        <v>348320</v>
      </c>
      <c r="D21" s="34">
        <f>SUM(MF:KFA!D21)</f>
        <v>348320</v>
      </c>
      <c r="E21" s="73" t="s">
        <v>64</v>
      </c>
      <c r="F21" s="34">
        <f>SUM(MF:KFA!F21)</f>
        <v>0</v>
      </c>
      <c r="G21" s="73" t="s">
        <v>64</v>
      </c>
      <c r="H21" s="19">
        <f t="shared" si="1"/>
        <v>348320</v>
      </c>
      <c r="I21" s="34">
        <f>SUM(MF:KFA!I21)+1</f>
        <v>499254</v>
      </c>
      <c r="J21" s="43">
        <f t="shared" si="0"/>
        <v>143.33199356913184</v>
      </c>
      <c r="K21" s="43">
        <f t="shared" si="2"/>
        <v>143.33199356913184</v>
      </c>
      <c r="L21" s="72">
        <f t="shared" si="3"/>
        <v>97.2368782391745</v>
      </c>
      <c r="N21" s="11"/>
      <c r="O21" s="11"/>
    </row>
    <row r="22" spans="1:15" ht="12.75">
      <c r="A22" s="7" t="s">
        <v>17</v>
      </c>
      <c r="B22" s="34">
        <f>SUM(MF:KFA!B22)</f>
        <v>914856</v>
      </c>
      <c r="C22" s="34">
        <f>SUM(MF:KFA!C22)</f>
        <v>465745</v>
      </c>
      <c r="D22" s="34">
        <f>SUM(MF:KFA!D22)</f>
        <v>465139</v>
      </c>
      <c r="E22" s="73" t="s">
        <v>64</v>
      </c>
      <c r="F22" s="34">
        <f>SUM(MF:KFA!F22)</f>
        <v>0</v>
      </c>
      <c r="G22" s="73" t="s">
        <v>64</v>
      </c>
      <c r="H22" s="19">
        <f t="shared" si="1"/>
        <v>465139</v>
      </c>
      <c r="I22" s="34">
        <f>SUM(MF:KFA!I22)</f>
        <v>862894</v>
      </c>
      <c r="J22" s="43">
        <f t="shared" si="0"/>
        <v>185.5131476827357</v>
      </c>
      <c r="K22" s="43">
        <f t="shared" si="2"/>
        <v>185.5131476827357</v>
      </c>
      <c r="L22" s="72">
        <f t="shared" si="3"/>
        <v>94.32019902585762</v>
      </c>
      <c r="N22" s="24"/>
      <c r="O22" s="24"/>
    </row>
    <row r="23" spans="1:15" ht="12.75">
      <c r="A23" s="18" t="s">
        <v>56</v>
      </c>
      <c r="B23" s="34">
        <f>SUM(MF:KFA!B23)</f>
        <v>53501</v>
      </c>
      <c r="C23" s="34">
        <f>SUM(MF:KFA!C23)</f>
        <v>12000</v>
      </c>
      <c r="D23" s="34">
        <f>SUM(MF:KFA!D23)</f>
        <v>12650</v>
      </c>
      <c r="E23" s="73" t="s">
        <v>64</v>
      </c>
      <c r="F23" s="34">
        <f>SUM(MF:KFA!F23)</f>
        <v>0</v>
      </c>
      <c r="G23" s="73" t="s">
        <v>64</v>
      </c>
      <c r="H23" s="19">
        <f t="shared" si="1"/>
        <v>12650</v>
      </c>
      <c r="I23" s="34">
        <f>SUM(MF:KFA!I23)</f>
        <v>50033</v>
      </c>
      <c r="J23" s="43">
        <f t="shared" si="0"/>
        <v>395.5177865612648</v>
      </c>
      <c r="K23" s="43">
        <f t="shared" si="2"/>
        <v>395.5177865612648</v>
      </c>
      <c r="L23" s="72">
        <f t="shared" si="3"/>
        <v>93.51787817050149</v>
      </c>
      <c r="N23" s="11"/>
      <c r="O23" s="11"/>
    </row>
    <row r="24" spans="1:15" ht="12.75" customHeight="1">
      <c r="A24" s="7" t="s">
        <v>18</v>
      </c>
      <c r="B24" s="34">
        <f>SUM(MF:KFA!B24)</f>
        <v>5</v>
      </c>
      <c r="C24" s="34">
        <f>SUM(MF:KFA!C24)</f>
        <v>0</v>
      </c>
      <c r="D24" s="34">
        <f>SUM(MF:KFA!D24)</f>
        <v>0</v>
      </c>
      <c r="E24" s="73" t="s">
        <v>64</v>
      </c>
      <c r="F24" s="34">
        <f>SUM(MF:KFA!F24)</f>
        <v>0</v>
      </c>
      <c r="G24" s="73" t="s">
        <v>64</v>
      </c>
      <c r="H24" s="19">
        <f t="shared" si="1"/>
        <v>0</v>
      </c>
      <c r="I24" s="34">
        <f>SUM(MF:KFA!I24)</f>
        <v>0</v>
      </c>
      <c r="J24" s="43"/>
      <c r="K24" s="43"/>
      <c r="L24" s="72"/>
      <c r="N24" s="11"/>
      <c r="O24" s="24"/>
    </row>
    <row r="25" spans="1:15" ht="12.75" customHeight="1">
      <c r="A25" s="7" t="s">
        <v>78</v>
      </c>
      <c r="B25" s="34">
        <f>SUM(MF:KFA!B25)</f>
        <v>43157</v>
      </c>
      <c r="C25" s="34">
        <f>SUM(MF:KFA!C25)</f>
        <v>172163</v>
      </c>
      <c r="D25" s="34">
        <f>SUM(MF:KFA!D25)</f>
        <v>197290</v>
      </c>
      <c r="E25" s="73" t="s">
        <v>64</v>
      </c>
      <c r="F25" s="34">
        <f>SUM(MF:KFA!F25)</f>
        <v>0</v>
      </c>
      <c r="G25" s="73" t="s">
        <v>64</v>
      </c>
      <c r="H25" s="19">
        <f t="shared" si="1"/>
        <v>197290</v>
      </c>
      <c r="I25" s="34">
        <f>SUM(MF:KFA!I25)</f>
        <v>120661</v>
      </c>
      <c r="J25" s="43">
        <f t="shared" si="0"/>
        <v>61.159207258350655</v>
      </c>
      <c r="K25" s="43">
        <f t="shared" si="2"/>
        <v>61.159207258350655</v>
      </c>
      <c r="L25" s="72">
        <f t="shared" si="3"/>
        <v>279.5861621521422</v>
      </c>
      <c r="N25" s="11"/>
      <c r="O25" s="24"/>
    </row>
    <row r="26" spans="1:15" ht="12.75" customHeight="1">
      <c r="A26" s="7" t="s">
        <v>57</v>
      </c>
      <c r="B26" s="34">
        <f>SUM(MF:KFA!B26)</f>
        <v>58263</v>
      </c>
      <c r="C26" s="34">
        <f>SUM(MF:KFA!C26)</f>
        <v>15357</v>
      </c>
      <c r="D26" s="34">
        <f>SUM(MF:KFA!D26)</f>
        <v>15357</v>
      </c>
      <c r="E26" s="73" t="s">
        <v>64</v>
      </c>
      <c r="F26" s="34">
        <f>SUM(MF:KFA!F26)</f>
        <v>616.9</v>
      </c>
      <c r="G26" s="73" t="s">
        <v>64</v>
      </c>
      <c r="H26" s="19">
        <f t="shared" si="1"/>
        <v>15973.9</v>
      </c>
      <c r="I26" s="34">
        <f>SUM(MF:KFA!I26)</f>
        <v>66555</v>
      </c>
      <c r="J26" s="43">
        <f t="shared" si="0"/>
        <v>433.38542684117994</v>
      </c>
      <c r="K26" s="43">
        <f t="shared" si="2"/>
        <v>416.6484077150852</v>
      </c>
      <c r="L26" s="72">
        <f t="shared" si="3"/>
        <v>114.23201688893465</v>
      </c>
      <c r="N26" s="11"/>
      <c r="O26" s="24"/>
    </row>
    <row r="27" spans="1:15" ht="12.75" customHeight="1">
      <c r="A27" s="21" t="s">
        <v>79</v>
      </c>
      <c r="B27" s="34">
        <f>SUM(MF:KFA!B27)</f>
        <v>98263</v>
      </c>
      <c r="C27" s="34">
        <f>SUM(MF:KFA!C27)</f>
        <v>54550</v>
      </c>
      <c r="D27" s="34">
        <f>SUM(MF:KFA!D27)</f>
        <v>54550</v>
      </c>
      <c r="E27" s="73" t="s">
        <v>64</v>
      </c>
      <c r="F27" s="34">
        <f>SUM(MF:KFA!F27)</f>
        <v>0</v>
      </c>
      <c r="G27" s="73" t="s">
        <v>64</v>
      </c>
      <c r="H27" s="34">
        <f t="shared" si="1"/>
        <v>54550</v>
      </c>
      <c r="I27" s="34">
        <f>SUM(MF:KFA!I27)</f>
        <v>67305</v>
      </c>
      <c r="J27" s="77">
        <f t="shared" si="0"/>
        <v>123.38221814848762</v>
      </c>
      <c r="K27" s="77">
        <f t="shared" si="2"/>
        <v>123.38221814848762</v>
      </c>
      <c r="L27" s="79"/>
      <c r="N27" s="11"/>
      <c r="O27" s="24"/>
    </row>
    <row r="28" spans="1:15" ht="13.5" thickBot="1">
      <c r="A28" s="15" t="s">
        <v>19</v>
      </c>
      <c r="B28" s="40">
        <f>SUM(MF:KFA!B28)</f>
        <v>19993</v>
      </c>
      <c r="C28" s="30">
        <f>SUM(MF:KFA!C28)</f>
        <v>0</v>
      </c>
      <c r="D28" s="30">
        <f>SUM(MF:KFA!D28)</f>
        <v>0</v>
      </c>
      <c r="E28" s="33" t="s">
        <v>64</v>
      </c>
      <c r="F28" s="109">
        <f>SUM(MF:KFA!F28)</f>
        <v>20197</v>
      </c>
      <c r="G28" s="33" t="s">
        <v>64</v>
      </c>
      <c r="H28" s="31">
        <f t="shared" si="1"/>
        <v>20197</v>
      </c>
      <c r="I28" s="109">
        <f>SUM(MF:KFA!I28)+1</f>
        <v>24813.832</v>
      </c>
      <c r="J28" s="81"/>
      <c r="K28" s="81">
        <f t="shared" si="2"/>
        <v>122.858998861217</v>
      </c>
      <c r="L28" s="83">
        <f t="shared" si="3"/>
        <v>124.11259940979342</v>
      </c>
      <c r="N28" s="11"/>
      <c r="O28" s="24"/>
    </row>
    <row r="29" spans="1:15" ht="12.75">
      <c r="A29" s="4"/>
      <c r="B29" s="28"/>
      <c r="C29" s="28"/>
      <c r="D29" s="28"/>
      <c r="E29" s="28"/>
      <c r="F29" s="28"/>
      <c r="G29" s="28"/>
      <c r="H29" s="28"/>
      <c r="I29" s="28"/>
      <c r="J29" s="124"/>
      <c r="K29" s="124"/>
      <c r="L29" s="86"/>
      <c r="N29" s="11"/>
      <c r="O29" s="11"/>
    </row>
    <row r="30" spans="1:15" ht="12.75">
      <c r="A30" s="6" t="s">
        <v>20</v>
      </c>
      <c r="B30" s="27">
        <f>SUM(MF:KFA!B30)</f>
        <v>16495473</v>
      </c>
      <c r="C30" s="27">
        <f>SUM(MF:KFA!C30)</f>
        <v>15074204</v>
      </c>
      <c r="D30" s="27">
        <f>SUM(MF:KFA!D30)</f>
        <v>19811064</v>
      </c>
      <c r="E30" s="27">
        <f>SUM(MF:KFA!E30)+1</f>
        <v>1436978.89522</v>
      </c>
      <c r="F30" s="27">
        <f>SUM(MF:KFA!F30)</f>
        <v>21214.456</v>
      </c>
      <c r="G30" s="27">
        <f>SUM(MF:KFA!G30)</f>
        <v>-556200</v>
      </c>
      <c r="H30" s="27">
        <f>SUM(MF:KFA!H30)+1</f>
        <v>20713057.35122</v>
      </c>
      <c r="I30" s="27">
        <f>SUM(MF:KFA!I30)</f>
        <v>18577274</v>
      </c>
      <c r="J30" s="87">
        <f t="shared" si="0"/>
        <v>93.77221738317539</v>
      </c>
      <c r="K30" s="87">
        <f>I30/H30*100</f>
        <v>89.68871029030294</v>
      </c>
      <c r="L30" s="68">
        <f>I30/B30*100</f>
        <v>112.62043834693311</v>
      </c>
      <c r="N30" s="24"/>
      <c r="O30" s="11"/>
    </row>
    <row r="31" spans="1:15" ht="12.75">
      <c r="A31" s="4" t="s">
        <v>21</v>
      </c>
      <c r="B31" s="28"/>
      <c r="C31" s="28"/>
      <c r="D31" s="28"/>
      <c r="E31" s="28"/>
      <c r="F31" s="28"/>
      <c r="G31" s="28"/>
      <c r="H31" s="28"/>
      <c r="I31" s="166"/>
      <c r="J31" s="125"/>
      <c r="K31" s="124"/>
      <c r="L31" s="86"/>
      <c r="N31" s="11"/>
      <c r="O31" s="11"/>
    </row>
    <row r="32" spans="1:15" ht="12.75">
      <c r="A32" s="25" t="s">
        <v>22</v>
      </c>
      <c r="B32" s="119">
        <f>SUM(MF:KFA!B32)</f>
        <v>1743101</v>
      </c>
      <c r="C32" s="119">
        <f>SUM(MF:KFA!C32)</f>
        <v>821468</v>
      </c>
      <c r="D32" s="119">
        <f>SUM(MF:KFA!D32)</f>
        <v>2492981</v>
      </c>
      <c r="E32" s="119">
        <f>SUM(MF:KFA!E32)</f>
        <v>473364.898</v>
      </c>
      <c r="F32" s="119">
        <f>SUM(MF:KFA!F32)</f>
        <v>13009</v>
      </c>
      <c r="G32" s="119">
        <f>SUM(MF:KFA!G32)</f>
        <v>-96500</v>
      </c>
      <c r="H32" s="119">
        <f>D32+E32+F32+G32</f>
        <v>2882854.898</v>
      </c>
      <c r="I32" s="119">
        <f>I34+I35+I36</f>
        <v>2100908</v>
      </c>
      <c r="J32" s="108">
        <f>I32/D32*100</f>
        <v>84.27292466328464</v>
      </c>
      <c r="K32" s="108">
        <f>I32/H32*100</f>
        <v>72.87595367555679</v>
      </c>
      <c r="L32" s="126">
        <f>I32/B32*100</f>
        <v>120.52703773332698</v>
      </c>
      <c r="N32" s="24"/>
      <c r="O32" s="24"/>
    </row>
    <row r="33" spans="1:15" ht="12.75">
      <c r="A33" s="171" t="s">
        <v>23</v>
      </c>
      <c r="B33" s="172"/>
      <c r="C33" s="173"/>
      <c r="D33" s="173"/>
      <c r="E33" s="173"/>
      <c r="F33" s="173"/>
      <c r="G33" s="173"/>
      <c r="H33" s="173"/>
      <c r="I33" s="173"/>
      <c r="J33" s="103"/>
      <c r="K33" s="103"/>
      <c r="L33" s="174"/>
      <c r="N33" s="11"/>
      <c r="O33" s="11"/>
    </row>
    <row r="34" spans="1:15" ht="12.75">
      <c r="A34" s="21" t="s">
        <v>24</v>
      </c>
      <c r="B34" s="175">
        <f>SUM(MF:KFA!B34)</f>
        <v>1285140</v>
      </c>
      <c r="C34" s="175">
        <f>SUM(MF:KFA!C34)</f>
        <v>674375</v>
      </c>
      <c r="D34" s="175">
        <f>SUM(MF:KFA!D34)</f>
        <v>1483648</v>
      </c>
      <c r="E34" s="175">
        <f>SUM(MF:KFA!E34)</f>
        <v>365940.272</v>
      </c>
      <c r="F34" s="175">
        <f>SUM(MF:KFA!F34)</f>
        <v>0</v>
      </c>
      <c r="G34" s="34">
        <f>SUM(MF:KFA!G34)</f>
        <v>-50400</v>
      </c>
      <c r="H34" s="34">
        <f>D34+E34+F34+G34</f>
        <v>1799188.2719999999</v>
      </c>
      <c r="I34" s="34">
        <f>SUM(MF:KFA!I34)</f>
        <v>1279655</v>
      </c>
      <c r="J34" s="77">
        <f aca="true" t="shared" si="4" ref="J34:J60">I34/D34*100</f>
        <v>86.25057965231645</v>
      </c>
      <c r="K34" s="77">
        <f>I34/H34*100</f>
        <v>71.12401853184157</v>
      </c>
      <c r="L34" s="79">
        <f>I34/B34*100</f>
        <v>99.57319825077423</v>
      </c>
      <c r="N34" s="24"/>
      <c r="O34" s="24"/>
    </row>
    <row r="35" spans="1:16" ht="12.75">
      <c r="A35" s="21" t="s">
        <v>25</v>
      </c>
      <c r="B35" s="175">
        <f>SUM(MF:KFA!B35)</f>
        <v>457961</v>
      </c>
      <c r="C35" s="175">
        <f>SUM(MF:KFA!C35)</f>
        <v>147093</v>
      </c>
      <c r="D35" s="175">
        <f>SUM(MF:KFA!D35)</f>
        <v>1009333</v>
      </c>
      <c r="E35" s="175">
        <f>SUM(MF:KFA!E35)</f>
        <v>107424.62599999999</v>
      </c>
      <c r="F35" s="175">
        <f>SUM(MF:KFA!F35)</f>
        <v>13009</v>
      </c>
      <c r="G35" s="34">
        <f>SUM(MF:KFA!G35)</f>
        <v>-46100</v>
      </c>
      <c r="H35" s="34">
        <f>D35+E35+F35+G35</f>
        <v>1083666.626</v>
      </c>
      <c r="I35" s="34">
        <f>SUM(MF:KFA!I35)</f>
        <v>821253</v>
      </c>
      <c r="J35" s="77">
        <f t="shared" si="4"/>
        <v>81.36591194382825</v>
      </c>
      <c r="K35" s="77">
        <f>I35/H35*100</f>
        <v>75.78465372061758</v>
      </c>
      <c r="L35" s="79">
        <f>I35/B35*100</f>
        <v>179.32815239725653</v>
      </c>
      <c r="N35" s="24"/>
      <c r="O35" s="24"/>
      <c r="P35" s="11"/>
    </row>
    <row r="36" spans="1:16" ht="12.75">
      <c r="A36" s="8" t="s">
        <v>26</v>
      </c>
      <c r="B36" s="168">
        <f>SUM(MF:KFA!B36)</f>
        <v>0</v>
      </c>
      <c r="C36" s="169">
        <f>SUM(MF:KFA!C36)</f>
        <v>0</v>
      </c>
      <c r="D36" s="169">
        <f>SUM(MF:KFA!D36)</f>
        <v>0</v>
      </c>
      <c r="E36" s="169">
        <f>SUM(MF:KFA!E36)</f>
        <v>0</v>
      </c>
      <c r="F36" s="169">
        <f>SUM(MF:KFA!F36)</f>
        <v>0</v>
      </c>
      <c r="G36" s="94">
        <f>SUM(MF:KFA!G36)</f>
        <v>0</v>
      </c>
      <c r="H36" s="94">
        <f aca="true" t="shared" si="5" ref="H36:H55">D36+E36+F36+G36</f>
        <v>0</v>
      </c>
      <c r="I36" s="170">
        <f>SUM(MF:KFA!I36)</f>
        <v>0</v>
      </c>
      <c r="J36" s="95"/>
      <c r="K36" s="95"/>
      <c r="L36" s="68"/>
      <c r="N36" s="24"/>
      <c r="O36" s="24"/>
      <c r="P36" s="11"/>
    </row>
    <row r="37" spans="1:16" ht="12.75">
      <c r="A37" s="4"/>
      <c r="B37" s="28"/>
      <c r="C37" s="28"/>
      <c r="D37" s="28"/>
      <c r="E37" s="28"/>
      <c r="F37" s="28"/>
      <c r="G37" s="28"/>
      <c r="H37" s="28"/>
      <c r="I37" s="28"/>
      <c r="J37" s="124"/>
      <c r="K37" s="124"/>
      <c r="L37" s="86"/>
      <c r="N37" s="24"/>
      <c r="O37" s="24"/>
      <c r="P37" s="11"/>
    </row>
    <row r="38" spans="1:16" ht="12.75">
      <c r="A38" s="25" t="s">
        <v>27</v>
      </c>
      <c r="B38" s="119">
        <f>SUM(MF:KFA!B38)</f>
        <v>14752372</v>
      </c>
      <c r="C38" s="119">
        <f>SUM(MF:KFA!C38)</f>
        <v>14252736</v>
      </c>
      <c r="D38" s="119">
        <f>SUM(MF:KFA!D38)</f>
        <v>17318083</v>
      </c>
      <c r="E38" s="119">
        <f>SUM(MF:KFA!E38)+1</f>
        <v>963613.9972200001</v>
      </c>
      <c r="F38" s="119">
        <f>SUM(MF:KFA!F38)</f>
        <v>8205.456</v>
      </c>
      <c r="G38" s="119">
        <f>SUM(MF:KFA!G38)</f>
        <v>-459700</v>
      </c>
      <c r="H38" s="119">
        <f>SUM(MF:KFA!H38)+1</f>
        <v>17830202.453220002</v>
      </c>
      <c r="I38" s="119">
        <f>SUM(MF:KFA!I38)</f>
        <v>16476366</v>
      </c>
      <c r="J38" s="108">
        <f t="shared" si="4"/>
        <v>95.13966413026199</v>
      </c>
      <c r="K38" s="108">
        <f>I38/H38*100</f>
        <v>92.40706067823974</v>
      </c>
      <c r="L38" s="126">
        <f>I38/B38*100</f>
        <v>111.68621561332645</v>
      </c>
      <c r="M38" s="14"/>
      <c r="N38" s="24"/>
      <c r="O38" s="24"/>
      <c r="P38" s="11"/>
    </row>
    <row r="39" spans="1:16" ht="12.75">
      <c r="A39" s="7" t="s">
        <v>23</v>
      </c>
      <c r="B39" s="117"/>
      <c r="C39" s="117"/>
      <c r="D39" s="117"/>
      <c r="E39" s="117"/>
      <c r="F39" s="117"/>
      <c r="G39" s="117"/>
      <c r="H39" s="117"/>
      <c r="I39" s="117"/>
      <c r="J39" s="127"/>
      <c r="K39" s="43"/>
      <c r="L39" s="72"/>
      <c r="N39" s="24"/>
      <c r="O39" s="24"/>
      <c r="P39" s="11"/>
    </row>
    <row r="40" spans="1:16" ht="12.75">
      <c r="A40" s="9" t="s">
        <v>28</v>
      </c>
      <c r="B40" s="29">
        <f>SUM(MF:KFA!B40)</f>
        <v>7627157</v>
      </c>
      <c r="C40" s="29">
        <f>SUM(MF:KFA!C40)</f>
        <v>7534615</v>
      </c>
      <c r="D40" s="29">
        <f>SUM(MF:KFA!D40)</f>
        <v>7966241</v>
      </c>
      <c r="E40" s="29">
        <f>SUM(MF:KFA!E40)</f>
        <v>29254.878</v>
      </c>
      <c r="F40" s="29">
        <f>SUM(MF:KFA!F40)</f>
        <v>456.963</v>
      </c>
      <c r="G40" s="29">
        <f>SUM(MF:KFA!G40)</f>
        <v>-231227</v>
      </c>
      <c r="H40" s="29">
        <f>SUM(MF:KFA!H40)</f>
        <v>7764725.841</v>
      </c>
      <c r="I40" s="29">
        <f>SUM(MF:KFA!I40)</f>
        <v>7720960</v>
      </c>
      <c r="J40" s="45">
        <f t="shared" si="4"/>
        <v>96.920994481588</v>
      </c>
      <c r="K40" s="45">
        <f aca="true" t="shared" si="6" ref="K40:K46">I40/H40*100</f>
        <v>99.43635046624694</v>
      </c>
      <c r="L40" s="72">
        <f aca="true" t="shared" si="7" ref="L40:L46">I40/B40*100</f>
        <v>101.22985537074956</v>
      </c>
      <c r="N40" s="24"/>
      <c r="O40" s="24"/>
      <c r="P40" s="11"/>
    </row>
    <row r="41" spans="1:16" ht="12.75">
      <c r="A41" s="7" t="s">
        <v>29</v>
      </c>
      <c r="B41" s="41">
        <f>SUM(MF:KFA!B41)</f>
        <v>7578194</v>
      </c>
      <c r="C41" s="41">
        <f>SUM(MF:KFA!C41)</f>
        <v>7476618</v>
      </c>
      <c r="D41" s="41">
        <f>SUM(MF:KFA!D41)</f>
        <v>7914854</v>
      </c>
      <c r="E41" s="41">
        <f>SUM(MF:KFA!E41)</f>
        <v>22558.3</v>
      </c>
      <c r="F41" s="41">
        <f>SUM(MF:KFA!F41)</f>
        <v>456.963</v>
      </c>
      <c r="G41" s="19">
        <f>SUM(MF:KFA!G41)</f>
        <v>-223727</v>
      </c>
      <c r="H41" s="19">
        <f t="shared" si="5"/>
        <v>7714142.263</v>
      </c>
      <c r="I41" s="41">
        <f>SUM(MF:KFA!I41)</f>
        <v>7687157</v>
      </c>
      <c r="J41" s="75">
        <f t="shared" si="4"/>
        <v>97.12316866489262</v>
      </c>
      <c r="K41" s="43">
        <f t="shared" si="6"/>
        <v>99.65018453017865</v>
      </c>
      <c r="L41" s="72">
        <f t="shared" si="7"/>
        <v>101.43784917620214</v>
      </c>
      <c r="N41" s="24"/>
      <c r="O41" s="24"/>
      <c r="P41" s="11"/>
    </row>
    <row r="42" spans="1:16" ht="12.75">
      <c r="A42" s="16" t="s">
        <v>30</v>
      </c>
      <c r="B42" s="41">
        <f>SUM(MF:KFA!B42)</f>
        <v>48963</v>
      </c>
      <c r="C42" s="41">
        <f>SUM(MF:KFA!C42)</f>
        <v>57997</v>
      </c>
      <c r="D42" s="41">
        <f>SUM(MF:KFA!D42)</f>
        <v>51387</v>
      </c>
      <c r="E42" s="41">
        <f>SUM(MF:KFA!E42)</f>
        <v>6696.578</v>
      </c>
      <c r="F42" s="41">
        <f>SUM(MF:KFA!F42)</f>
        <v>0</v>
      </c>
      <c r="G42" s="19">
        <f>SUM(MF:KFA!G42)</f>
        <v>-7500</v>
      </c>
      <c r="H42" s="19">
        <f t="shared" si="5"/>
        <v>50583.578</v>
      </c>
      <c r="I42" s="41">
        <f>SUM(MF:KFA!I42)</f>
        <v>33803</v>
      </c>
      <c r="J42" s="75">
        <f t="shared" si="4"/>
        <v>65.78122871543385</v>
      </c>
      <c r="K42" s="43">
        <f t="shared" si="6"/>
        <v>66.82603591228758</v>
      </c>
      <c r="L42" s="72">
        <f t="shared" si="7"/>
        <v>69.03784490329431</v>
      </c>
      <c r="M42" s="14"/>
      <c r="N42" s="24"/>
      <c r="O42" s="24"/>
      <c r="P42" s="11"/>
    </row>
    <row r="43" spans="1:16" ht="12.75">
      <c r="A43" s="10" t="s">
        <v>31</v>
      </c>
      <c r="B43" s="29">
        <f>SUM(MF:KFA!B43)+1</f>
        <v>2585189</v>
      </c>
      <c r="C43" s="29">
        <f>SUM(MF:KFA!C43)</f>
        <v>2561706</v>
      </c>
      <c r="D43" s="29">
        <f>SUM(MF:KFA!D43)</f>
        <v>2708634</v>
      </c>
      <c r="E43" s="29">
        <f>SUM(MF:KFA!E43)</f>
        <v>9696.507</v>
      </c>
      <c r="F43" s="29">
        <f>SUM(MF:KFA!F43)</f>
        <v>155.367</v>
      </c>
      <c r="G43" s="29">
        <f>SUM(MF:KFA!G43)</f>
        <v>-78618</v>
      </c>
      <c r="H43" s="29">
        <f>SUM(MF:KFA!H43)</f>
        <v>2639867.874</v>
      </c>
      <c r="I43" s="29">
        <f>SUM(MF:KFA!I43)+1</f>
        <v>2622424</v>
      </c>
      <c r="J43" s="45">
        <f t="shared" si="4"/>
        <v>96.81721487657616</v>
      </c>
      <c r="K43" s="43">
        <f t="shared" si="6"/>
        <v>99.3392141261385</v>
      </c>
      <c r="L43" s="72">
        <f t="shared" si="7"/>
        <v>101.44032022416928</v>
      </c>
      <c r="M43" s="14"/>
      <c r="N43" s="24"/>
      <c r="O43" s="24" t="s">
        <v>52</v>
      </c>
      <c r="P43" s="11"/>
    </row>
    <row r="44" spans="1:16" ht="12.75">
      <c r="A44" s="10" t="s">
        <v>32</v>
      </c>
      <c r="B44" s="29">
        <f>SUM(MF:KFA!B44)</f>
        <v>75881</v>
      </c>
      <c r="C44" s="29">
        <f>SUM(MF:KFA!C44)</f>
        <v>74768</v>
      </c>
      <c r="D44" s="29">
        <f>SUM(MF:KFA!D44)</f>
        <v>79160</v>
      </c>
      <c r="E44" s="29">
        <f>SUM(MF:KFA!E44)</f>
        <v>274.873</v>
      </c>
      <c r="F44" s="29">
        <f>SUM(MF:KFA!F44)</f>
        <v>4.57</v>
      </c>
      <c r="G44" s="29">
        <f>SUM(MF:KFA!G44)</f>
        <v>-2237</v>
      </c>
      <c r="H44" s="29">
        <f t="shared" si="5"/>
        <v>77202.44300000001</v>
      </c>
      <c r="I44" s="29">
        <f>SUM(MF:KFA!I44)-1</f>
        <v>77026</v>
      </c>
      <c r="J44" s="45">
        <f t="shared" si="4"/>
        <v>97.30419403739262</v>
      </c>
      <c r="K44" s="43">
        <f t="shared" si="6"/>
        <v>99.77145412354372</v>
      </c>
      <c r="L44" s="72">
        <f t="shared" si="7"/>
        <v>101.50894163229268</v>
      </c>
      <c r="M44" s="14"/>
      <c r="N44" s="24"/>
      <c r="O44" s="24"/>
      <c r="P44" s="11"/>
    </row>
    <row r="45" spans="1:16" ht="12.75">
      <c r="A45" s="9" t="s">
        <v>49</v>
      </c>
      <c r="B45" s="29">
        <f>SUM(MF:KFA!B45)</f>
        <v>414270</v>
      </c>
      <c r="C45" s="29">
        <f>SUM(MF:KFA!C45)</f>
        <v>674948</v>
      </c>
      <c r="D45" s="29">
        <f>SUM(MF:KFA!D45)</f>
        <v>674948</v>
      </c>
      <c r="E45" s="29">
        <f>SUM(MF:KFA!E45)</f>
        <v>0</v>
      </c>
      <c r="F45" s="29">
        <f>SUM(MF:KFA!F45)</f>
        <v>0</v>
      </c>
      <c r="G45" s="29">
        <f>SUM(MF:KFA!G45)</f>
        <v>0</v>
      </c>
      <c r="H45" s="29">
        <f t="shared" si="5"/>
        <v>674948</v>
      </c>
      <c r="I45" s="29">
        <f>SUM(MF:KFA!I45)</f>
        <v>418148</v>
      </c>
      <c r="J45" s="45">
        <f t="shared" si="4"/>
        <v>61.95262449847988</v>
      </c>
      <c r="K45" s="43">
        <f t="shared" si="6"/>
        <v>61.95262449847988</v>
      </c>
      <c r="L45" s="72">
        <f t="shared" si="7"/>
        <v>100.93610447292829</v>
      </c>
      <c r="M45" s="14"/>
      <c r="N45" s="24"/>
      <c r="O45" s="24"/>
      <c r="P45" s="11"/>
    </row>
    <row r="46" spans="1:16" ht="12.75">
      <c r="A46" s="9" t="s">
        <v>34</v>
      </c>
      <c r="B46" s="29">
        <f>SUM(MF:KFA!B46)</f>
        <v>4049876</v>
      </c>
      <c r="C46" s="29">
        <f>SUM(MF:KFA!C46)</f>
        <v>3406699</v>
      </c>
      <c r="D46" s="29">
        <f>SUM(MF:KFA!D46)</f>
        <v>5889100</v>
      </c>
      <c r="E46" s="29">
        <f>SUM(MF:KFA!E46)+1</f>
        <v>924387.7392200001</v>
      </c>
      <c r="F46" s="29">
        <f>SUM(MF:KFA!F46)</f>
        <v>7588.556</v>
      </c>
      <c r="G46" s="29">
        <f>SUM(MF:KFA!G46)</f>
        <v>-147618</v>
      </c>
      <c r="H46" s="29">
        <f>SUM(MF:KFA!H46)+1</f>
        <v>6673458.29522</v>
      </c>
      <c r="I46" s="29">
        <f>SUM(MF:KFA!I46)</f>
        <v>5637808</v>
      </c>
      <c r="J46" s="45">
        <f t="shared" si="4"/>
        <v>95.73293032891273</v>
      </c>
      <c r="K46" s="45">
        <f t="shared" si="6"/>
        <v>84.48105540778153</v>
      </c>
      <c r="L46" s="72">
        <f t="shared" si="7"/>
        <v>139.2093980161368</v>
      </c>
      <c r="N46" s="24"/>
      <c r="O46" s="24"/>
      <c r="P46" s="11"/>
    </row>
    <row r="47" spans="1:16" ht="12.75">
      <c r="A47" s="7" t="s">
        <v>35</v>
      </c>
      <c r="B47" s="117"/>
      <c r="C47" s="117"/>
      <c r="D47" s="117"/>
      <c r="E47" s="117"/>
      <c r="F47" s="117"/>
      <c r="G47" s="117"/>
      <c r="H47" s="117"/>
      <c r="I47" s="117"/>
      <c r="J47" s="43"/>
      <c r="K47" s="43"/>
      <c r="L47" s="72"/>
      <c r="N47" s="24"/>
      <c r="O47" s="24"/>
      <c r="P47" s="11"/>
    </row>
    <row r="48" spans="1:16" ht="12.75">
      <c r="A48" s="7" t="s">
        <v>36</v>
      </c>
      <c r="B48" s="19">
        <f>SUM(MF:KFA!B48)</f>
        <v>247103</v>
      </c>
      <c r="C48" s="19">
        <f>SUM(MF:KFA!C48)</f>
        <v>151440</v>
      </c>
      <c r="D48" s="19">
        <f>SUM(MF:KFA!D48)</f>
        <v>313034</v>
      </c>
      <c r="E48" s="19">
        <f>SUM(MF:KFA!E48)</f>
        <v>22271.017</v>
      </c>
      <c r="F48" s="19">
        <f>SUM(MF:KFA!F48)</f>
        <v>76</v>
      </c>
      <c r="G48" s="19">
        <f>SUM(MF:KFA!G48)</f>
        <v>-8050</v>
      </c>
      <c r="H48" s="19">
        <f>D48+E48+F48+G48</f>
        <v>327331.017</v>
      </c>
      <c r="I48" s="19">
        <f>SUM(MF:KFA!I48)</f>
        <v>265397</v>
      </c>
      <c r="J48" s="43">
        <f t="shared" si="4"/>
        <v>84.78216423775054</v>
      </c>
      <c r="K48" s="43">
        <f aca="true" t="shared" si="8" ref="K48:K57">I48/H48*100</f>
        <v>81.07908698429273</v>
      </c>
      <c r="L48" s="72">
        <f aca="true" t="shared" si="9" ref="L48:L56">I48/B48*100</f>
        <v>107.40339048898637</v>
      </c>
      <c r="N48" s="24"/>
      <c r="O48" s="24"/>
      <c r="P48" s="11"/>
    </row>
    <row r="49" spans="1:16" ht="12.75">
      <c r="A49" s="7" t="s">
        <v>37</v>
      </c>
      <c r="B49" s="19">
        <f>SUM(MF:KFA!B49)</f>
        <v>398474</v>
      </c>
      <c r="C49" s="19">
        <f>SUM(MF:KFA!C49)</f>
        <v>450507</v>
      </c>
      <c r="D49" s="19">
        <f>SUM(MF:KFA!D49)</f>
        <v>397668</v>
      </c>
      <c r="E49" s="19">
        <f>SUM(MF:KFA!E49)</f>
        <v>14224.05</v>
      </c>
      <c r="F49" s="19">
        <f>SUM(MF:KFA!F49)</f>
        <v>0</v>
      </c>
      <c r="G49" s="19">
        <f>SUM(MF:KFA!G49)</f>
        <v>-44</v>
      </c>
      <c r="H49" s="19">
        <f>D49+E49+F49+G49</f>
        <v>411848.05</v>
      </c>
      <c r="I49" s="19">
        <f>SUM(MF:KFA!I49)+1</f>
        <v>394648</v>
      </c>
      <c r="J49" s="43">
        <f t="shared" si="4"/>
        <v>99.24057253789593</v>
      </c>
      <c r="K49" s="43">
        <f t="shared" si="8"/>
        <v>95.82369031491105</v>
      </c>
      <c r="L49" s="72">
        <f t="shared" si="9"/>
        <v>99.03983697807134</v>
      </c>
      <c r="N49" s="24"/>
      <c r="O49" s="24"/>
      <c r="P49" s="11"/>
    </row>
    <row r="50" spans="1:16" ht="12.75">
      <c r="A50" s="7" t="s">
        <v>38</v>
      </c>
      <c r="B50" s="19">
        <f>SUM(MF:KFA!B50)</f>
        <v>2690904</v>
      </c>
      <c r="C50" s="19">
        <f>SUM(MF:KFA!C50)</f>
        <v>2215187</v>
      </c>
      <c r="D50" s="19">
        <f>SUM(MF:KFA!D50)</f>
        <v>2457104</v>
      </c>
      <c r="E50" s="19">
        <f>SUM(MF:KFA!E50)</f>
        <v>697897.344</v>
      </c>
      <c r="F50" s="19">
        <f>SUM(MF:KFA!F50)</f>
        <v>37</v>
      </c>
      <c r="G50" s="19">
        <f>SUM(MF:KFA!G50)</f>
        <v>-109849</v>
      </c>
      <c r="H50" s="19">
        <f t="shared" si="5"/>
        <v>3045189.344</v>
      </c>
      <c r="I50" s="19">
        <f>SUM(MF:KFA!I50)</f>
        <v>2332619</v>
      </c>
      <c r="J50" s="43">
        <f t="shared" si="4"/>
        <v>94.93366988129115</v>
      </c>
      <c r="K50" s="43">
        <f t="shared" si="8"/>
        <v>76.60013012314022</v>
      </c>
      <c r="L50" s="72">
        <f t="shared" si="9"/>
        <v>86.68532953981264</v>
      </c>
      <c r="N50" s="24"/>
      <c r="O50" s="24"/>
      <c r="P50" s="11"/>
    </row>
    <row r="51" spans="1:16" ht="12.75">
      <c r="A51" s="7" t="s">
        <v>39</v>
      </c>
      <c r="B51" s="19">
        <f>SUM(MF:KFA!B51)</f>
        <v>331307</v>
      </c>
      <c r="C51" s="19">
        <f>SUM(MF:KFA!C51)</f>
        <v>191525</v>
      </c>
      <c r="D51" s="19">
        <f>SUM(MF:KFA!D51)</f>
        <v>331226</v>
      </c>
      <c r="E51" s="19">
        <f>SUM(MF:KFA!E51)</f>
        <v>11257.531</v>
      </c>
      <c r="F51" s="19">
        <f>SUM(MF:KFA!F51)</f>
        <v>0</v>
      </c>
      <c r="G51" s="19">
        <f>SUM(MF:KFA!G51)</f>
        <v>-72</v>
      </c>
      <c r="H51" s="19">
        <f t="shared" si="5"/>
        <v>342411.531</v>
      </c>
      <c r="I51" s="19">
        <f>SUM(MF:KFA!I51)</f>
        <v>320335</v>
      </c>
      <c r="J51" s="43">
        <f t="shared" si="4"/>
        <v>96.71191271216631</v>
      </c>
      <c r="K51" s="43">
        <f t="shared" si="8"/>
        <v>93.5526321395993</v>
      </c>
      <c r="L51" s="72">
        <f t="shared" si="9"/>
        <v>96.68826798105684</v>
      </c>
      <c r="N51" s="24"/>
      <c r="O51" s="24"/>
      <c r="P51" s="11"/>
    </row>
    <row r="52" spans="1:16" ht="12.75">
      <c r="A52" s="7" t="s">
        <v>40</v>
      </c>
      <c r="B52" s="19">
        <f>SUM(MF:KFA!B52)</f>
        <v>402176</v>
      </c>
      <c r="C52" s="19">
        <f>SUM(MF:KFA!C52)</f>
        <v>374900</v>
      </c>
      <c r="D52" s="19">
        <f>SUM(MF:KFA!D52)</f>
        <v>370142</v>
      </c>
      <c r="E52" s="19">
        <f>SUM(MF:KFA!E52)</f>
        <v>59381.71568</v>
      </c>
      <c r="F52" s="19">
        <f>SUM(MF:KFA!F52)</f>
        <v>7467</v>
      </c>
      <c r="G52" s="19">
        <f>SUM(MF:KFA!G52)</f>
        <v>-23570</v>
      </c>
      <c r="H52" s="19">
        <f t="shared" si="5"/>
        <v>413420.71568</v>
      </c>
      <c r="I52" s="19">
        <f>SUM(MF:KFA!I52)-1</f>
        <v>346308</v>
      </c>
      <c r="J52" s="43">
        <f t="shared" si="4"/>
        <v>93.56084961987563</v>
      </c>
      <c r="K52" s="43">
        <f t="shared" si="8"/>
        <v>83.76648456775754</v>
      </c>
      <c r="L52" s="72">
        <f t="shared" si="9"/>
        <v>86.10856938255887</v>
      </c>
      <c r="N52" s="24"/>
      <c r="O52" s="24"/>
      <c r="P52" s="11"/>
    </row>
    <row r="53" spans="1:16" ht="12.75">
      <c r="A53" s="7" t="s">
        <v>41</v>
      </c>
      <c r="B53" s="19">
        <f>SUM(MF:KFA!B53)</f>
        <v>297409</v>
      </c>
      <c r="C53" s="19">
        <f>SUM(MF:KFA!C53)</f>
        <v>258523</v>
      </c>
      <c r="D53" s="19">
        <f>SUM(MF:KFA!D53)</f>
        <v>260017</v>
      </c>
      <c r="E53" s="19">
        <f>SUM(MF:KFA!E53)</f>
        <v>34990.032999999996</v>
      </c>
      <c r="F53" s="19">
        <f>SUM(MF:KFA!F53)</f>
        <v>400</v>
      </c>
      <c r="G53" s="19">
        <f>SUM(MF:KFA!G53)</f>
        <v>-10060</v>
      </c>
      <c r="H53" s="19">
        <f t="shared" si="5"/>
        <v>285347.033</v>
      </c>
      <c r="I53" s="19">
        <f>SUM(MF:KFA!I53)</f>
        <v>241002</v>
      </c>
      <c r="J53" s="43">
        <f t="shared" si="4"/>
        <v>92.6870166181442</v>
      </c>
      <c r="K53" s="43">
        <f t="shared" si="8"/>
        <v>84.45926262706226</v>
      </c>
      <c r="L53" s="72">
        <f t="shared" si="9"/>
        <v>81.03386245876891</v>
      </c>
      <c r="N53" s="24"/>
      <c r="O53" s="24"/>
      <c r="P53" s="11"/>
    </row>
    <row r="54" spans="1:16" ht="12.75">
      <c r="A54" s="7" t="s">
        <v>42</v>
      </c>
      <c r="B54" s="19">
        <f>SUM(MF:KFA!B54)</f>
        <v>3551</v>
      </c>
      <c r="C54" s="19">
        <f>SUM(MF:KFA!C54)</f>
        <v>12670</v>
      </c>
      <c r="D54" s="19">
        <f>SUM(MF:KFA!D54)</f>
        <v>2921</v>
      </c>
      <c r="E54" s="19">
        <f>SUM(MF:KFA!E54)</f>
        <v>11</v>
      </c>
      <c r="F54" s="19">
        <f>SUM(MF:KFA!F54)</f>
        <v>0</v>
      </c>
      <c r="G54" s="19">
        <f>SUM(MF:KFA!G54)</f>
        <v>0</v>
      </c>
      <c r="H54" s="19">
        <f t="shared" si="5"/>
        <v>2932</v>
      </c>
      <c r="I54" s="19">
        <f>SUM(MF:KFA!I54)</f>
        <v>1898</v>
      </c>
      <c r="J54" s="43">
        <f t="shared" si="4"/>
        <v>64.97774734679905</v>
      </c>
      <c r="K54" s="43">
        <f t="shared" si="8"/>
        <v>64.73396998635744</v>
      </c>
      <c r="L54" s="72">
        <f t="shared" si="9"/>
        <v>53.44973246972684</v>
      </c>
      <c r="N54" s="24"/>
      <c r="O54" s="24"/>
      <c r="P54" s="11"/>
    </row>
    <row r="55" spans="1:16" ht="12.75">
      <c r="A55" s="7" t="s">
        <v>43</v>
      </c>
      <c r="B55" s="19">
        <f>SUM(MF:KFA!B55)</f>
        <v>83985</v>
      </c>
      <c r="C55" s="19">
        <f>SUM(MF:KFA!C55)</f>
        <v>84941</v>
      </c>
      <c r="D55" s="19">
        <f>SUM(MF:KFA!D55)</f>
        <v>90316</v>
      </c>
      <c r="E55" s="19">
        <f>SUM(MF:KFA!E55)</f>
        <v>23245.252</v>
      </c>
      <c r="F55" s="19">
        <f>SUM(MF:KFA!F55)</f>
        <v>7055</v>
      </c>
      <c r="G55" s="19">
        <f>SUM(MF:KFA!G55)</f>
        <v>-13000</v>
      </c>
      <c r="H55" s="19">
        <f t="shared" si="5"/>
        <v>107616.25200000001</v>
      </c>
      <c r="I55" s="19">
        <f>SUM(MF:KFA!I55)</f>
        <v>88422</v>
      </c>
      <c r="J55" s="43">
        <f t="shared" si="4"/>
        <v>97.90291864121528</v>
      </c>
      <c r="K55" s="43">
        <f t="shared" si="8"/>
        <v>82.16416977614124</v>
      </c>
      <c r="L55" s="72">
        <f t="shared" si="9"/>
        <v>105.28308626540455</v>
      </c>
      <c r="N55" s="24"/>
      <c r="O55" s="24"/>
      <c r="P55" s="11"/>
    </row>
    <row r="56" spans="1:16" ht="13.5" thickBot="1">
      <c r="A56" s="15" t="s">
        <v>44</v>
      </c>
      <c r="B56" s="40">
        <f>SUM(MF:KFA!B56)</f>
        <v>311219</v>
      </c>
      <c r="C56" s="30">
        <f>SUM(MF:KFA!C56)</f>
        <v>214665</v>
      </c>
      <c r="D56" s="30">
        <f>SUM(MF:KFA!D56)</f>
        <v>2351152</v>
      </c>
      <c r="E56" s="30">
        <f>SUM(MF:KFA!E56)+1</f>
        <v>130613.61254</v>
      </c>
      <c r="F56" s="30">
        <f>SUM(MF:KFA!F56)</f>
        <v>8.556</v>
      </c>
      <c r="G56" s="30">
        <f>SUM(MF:KFA!G56)</f>
        <v>-6105</v>
      </c>
      <c r="H56" s="30">
        <f>D56+E56+F56+G56</f>
        <v>2475669.16854</v>
      </c>
      <c r="I56" s="109">
        <f>SUM(MF:KFA!I56)</f>
        <v>2298836</v>
      </c>
      <c r="J56" s="46">
        <f t="shared" si="4"/>
        <v>97.77487801724432</v>
      </c>
      <c r="K56" s="46">
        <f t="shared" si="8"/>
        <v>92.85715673212162</v>
      </c>
      <c r="L56" s="105">
        <f t="shared" si="9"/>
        <v>738.655416282425</v>
      </c>
      <c r="N56" s="24"/>
      <c r="O56" s="24"/>
      <c r="P56" s="11"/>
    </row>
    <row r="57" spans="1:16" ht="12.75">
      <c r="A57" s="7" t="s">
        <v>45</v>
      </c>
      <c r="B57" s="19">
        <f>SUM(MF:KFA!B57)</f>
        <v>23155</v>
      </c>
      <c r="C57" s="19">
        <f>SUM(MF:KFA!C57)</f>
        <v>24006</v>
      </c>
      <c r="D57" s="19">
        <f>SUM(MF:KFA!D57)</f>
        <v>24004</v>
      </c>
      <c r="E57" s="19">
        <f>SUM(MF:KFA!E57)</f>
        <v>0</v>
      </c>
      <c r="F57" s="19">
        <f>SUM(MF:KFA!F57)</f>
        <v>0</v>
      </c>
      <c r="G57" s="19">
        <f>SUM(MF:KFA!G57)</f>
        <v>0</v>
      </c>
      <c r="H57" s="19">
        <f>D57+E57+F57</f>
        <v>24004</v>
      </c>
      <c r="I57" s="19">
        <f>SUM(MF:KFA!I57)</f>
        <v>23054</v>
      </c>
      <c r="J57" s="43">
        <f t="shared" si="4"/>
        <v>96.04232627895351</v>
      </c>
      <c r="K57" s="43">
        <f t="shared" si="8"/>
        <v>96.04232627895351</v>
      </c>
      <c r="L57" s="72">
        <f>I57/B57*100</f>
        <v>99.5638091125027</v>
      </c>
      <c r="N57" s="24"/>
      <c r="O57" s="24"/>
      <c r="P57" s="11"/>
    </row>
    <row r="58" spans="1:16" ht="12.75" hidden="1">
      <c r="A58" s="7" t="s">
        <v>87</v>
      </c>
      <c r="B58" s="19">
        <f>SUM(MF:KFA!B58)</f>
        <v>0</v>
      </c>
      <c r="C58" s="19">
        <f>SUM(MF:KFA!C58)</f>
        <v>389470</v>
      </c>
      <c r="D58" s="19">
        <f>SUM(MF:KFA!D58)</f>
        <v>0</v>
      </c>
      <c r="E58" s="19">
        <f>SUM(MF:KFA!E58)</f>
        <v>0</v>
      </c>
      <c r="F58" s="19">
        <f>SUM(MF:KFA!F58)</f>
        <v>0</v>
      </c>
      <c r="G58" s="19">
        <f>SUM(MF:KFA!G58)</f>
        <v>0</v>
      </c>
      <c r="H58" s="19">
        <f>D58+E58+F58</f>
        <v>0</v>
      </c>
      <c r="I58" s="19">
        <f>SUM(MF:KFA!I58)</f>
        <v>0</v>
      </c>
      <c r="J58" s="43" t="e">
        <f t="shared" si="4"/>
        <v>#DIV/0!</v>
      </c>
      <c r="K58" s="43"/>
      <c r="L58" s="72"/>
      <c r="N58" s="24"/>
      <c r="O58" s="24"/>
      <c r="P58" s="11"/>
    </row>
    <row r="59" spans="1:16" ht="12.75">
      <c r="A59" s="7" t="s">
        <v>46</v>
      </c>
      <c r="B59" s="19">
        <f>B41/B57/12*1000</f>
        <v>27273.425466062046</v>
      </c>
      <c r="C59" s="19">
        <f>C41/C57/12*1000</f>
        <v>25953.990668999413</v>
      </c>
      <c r="D59" s="19">
        <f>D41/D57/12*1000</f>
        <v>27477.552352385715</v>
      </c>
      <c r="E59" s="19">
        <f>SUM(MF:KFA!E59)</f>
        <v>0</v>
      </c>
      <c r="F59" s="19">
        <f>SUM(MF:KFA!F59)</f>
        <v>0</v>
      </c>
      <c r="G59" s="19">
        <f>SUM(MF:KFA!G59)</f>
        <v>0</v>
      </c>
      <c r="H59" s="19">
        <f>H41/H57/12*1000</f>
        <v>26780.752732183526</v>
      </c>
      <c r="I59" s="19">
        <f>I41/I57/12*1000</f>
        <v>27786.779589948237</v>
      </c>
      <c r="J59" s="43">
        <f t="shared" si="4"/>
        <v>101.12538130615434</v>
      </c>
      <c r="K59" s="43">
        <f>I59/H59*100</f>
        <v>103.75652942927078</v>
      </c>
      <c r="L59" s="72">
        <f>I59/B59*100</f>
        <v>101.88225026784767</v>
      </c>
      <c r="N59" s="11"/>
      <c r="O59" s="11"/>
      <c r="P59" s="11"/>
    </row>
    <row r="60" spans="1:16" ht="13.5" thickBot="1">
      <c r="A60" s="5" t="s">
        <v>47</v>
      </c>
      <c r="B60" s="31">
        <f>B46/B57*1000</f>
        <v>174902.87194990282</v>
      </c>
      <c r="C60" s="31">
        <f>C46/C57*1000</f>
        <v>141910.31408814463</v>
      </c>
      <c r="D60" s="31">
        <f>D46/D57*1000</f>
        <v>245338.276953841</v>
      </c>
      <c r="E60" s="109">
        <f>SUM(MF:KFA!E60)</f>
        <v>0</v>
      </c>
      <c r="F60" s="30">
        <f>SUM(MF:KFA!F60)</f>
        <v>0</v>
      </c>
      <c r="G60" s="30">
        <f>SUM(MF:KFA!G60)</f>
        <v>0</v>
      </c>
      <c r="H60" s="31">
        <f>H46/H57*1000</f>
        <v>278014.4265630728</v>
      </c>
      <c r="I60" s="31">
        <f>I46/I57*1000</f>
        <v>244547.93094473844</v>
      </c>
      <c r="J60" s="81">
        <f t="shared" si="4"/>
        <v>99.6778545855479</v>
      </c>
      <c r="K60" s="81">
        <f>I60/H60*100</f>
        <v>87.96231690849258</v>
      </c>
      <c r="L60" s="83">
        <f>I60/B60*100</f>
        <v>139.81927696120619</v>
      </c>
      <c r="M60" s="11"/>
      <c r="N60" s="11"/>
      <c r="O60" s="11"/>
      <c r="P60" s="11"/>
    </row>
    <row r="61" spans="2:12" ht="12.75">
      <c r="B61" s="38"/>
      <c r="C61" s="38"/>
      <c r="D61" s="38"/>
      <c r="E61" s="38"/>
      <c r="F61" s="38"/>
      <c r="G61" s="14"/>
      <c r="H61" s="38"/>
      <c r="I61" s="38"/>
      <c r="J61" s="128"/>
      <c r="K61" s="37"/>
      <c r="L61" s="37"/>
    </row>
    <row r="62" spans="1:12" ht="12.75">
      <c r="A62" s="1" t="s">
        <v>62</v>
      </c>
      <c r="B62" s="26"/>
      <c r="H62" s="37"/>
      <c r="I62" s="37"/>
      <c r="J62" s="37"/>
      <c r="K62" s="37"/>
      <c r="L62" s="37"/>
    </row>
    <row r="63" spans="1:8" ht="12.75">
      <c r="A63" s="35" t="s">
        <v>73</v>
      </c>
      <c r="B63" s="26"/>
      <c r="H63" s="14"/>
    </row>
    <row r="64" spans="1:8" ht="12.75">
      <c r="A64" s="35" t="s">
        <v>67</v>
      </c>
      <c r="H64" s="14"/>
    </row>
    <row r="65" ht="12.75">
      <c r="A65" s="35" t="s">
        <v>74</v>
      </c>
    </row>
    <row r="66" ht="12.75">
      <c r="A66" s="1" t="s">
        <v>69</v>
      </c>
    </row>
    <row r="67" ht="12.75">
      <c r="A67" s="1" t="s">
        <v>71</v>
      </c>
    </row>
    <row r="68" spans="1:11" ht="12.75">
      <c r="A68" s="180" t="s">
        <v>68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</sheetData>
  <sheetProtection/>
  <mergeCells count="1">
    <mergeCell ref="A68:K68"/>
  </mergeCells>
  <printOptions horizontalCentered="1"/>
  <pageMargins left="0.5905511811023623" right="0" top="0.5905511811023623" bottom="0" header="0.5118110236220472" footer="0.5118110236220472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4" sqref="I34"/>
    </sheetView>
  </sheetViews>
  <sheetFormatPr defaultColWidth="9.1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